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zHImI/aub6LnPqAw78bO4xBniZk5xwW0VNoA4FFghzTcgTE9vUYjQ410wcMnwBWVG5HvDVVJuz+SPSUqOs/TEg==" workbookSaltValue="/8l4Fxt1P5bY1lDDa1ck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BH9" i="16" s="1"/>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R25" i="14" s="1"/>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AP17" i="20"/>
  <c r="BL19" i="11"/>
  <c r="BJ22" i="11"/>
  <c r="BJ18" i="11"/>
  <c r="BG10" i="11"/>
  <c r="BM17" i="11"/>
  <c r="V11" i="16"/>
  <c r="BF21" i="11"/>
  <c r="V25" i="11"/>
  <c r="BF17" i="11"/>
  <c r="BF10" i="11"/>
  <c r="BL12" i="11"/>
  <c r="S14" i="16"/>
  <c r="P14" i="16"/>
  <c r="F13" i="16"/>
  <c r="Z14" i="17"/>
  <c r="R30" i="17"/>
  <c r="K26" i="2"/>
  <c r="N26" i="2"/>
  <c r="M23" i="2"/>
  <c r="F30" i="17"/>
  <c r="F26" i="17"/>
  <c r="F14" i="7"/>
  <c r="BK21" i="11"/>
  <c r="V11" i="11"/>
  <c r="BI25" i="11"/>
  <c r="BM12" i="11"/>
  <c r="V13" i="11"/>
  <c r="V9" i="11"/>
  <c r="BJ11" i="11"/>
  <c r="BI19" i="11"/>
  <c r="BH22" i="16"/>
  <c r="BJ16" i="11"/>
  <c r="R10" i="21"/>
  <c r="R14" i="21" s="1"/>
  <c r="AP22" i="20"/>
  <c r="BJ20"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22" i="2"/>
  <c r="X22" i="16"/>
  <c r="X21" i="20"/>
  <c r="S16" i="17"/>
  <c r="AH14" i="16"/>
  <c r="S17" i="17"/>
  <c r="L12" i="2"/>
  <c r="L17" i="2"/>
  <c r="X19" i="16"/>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BF17" i="8" l="1"/>
  <c r="L17" i="14"/>
  <c r="K30" i="2"/>
  <c r="L28" i="2"/>
  <c r="AL21" i="11"/>
  <c r="BG17" i="13"/>
  <c r="BH20" i="16"/>
  <c r="AP21" i="20"/>
  <c r="AP10" i="21"/>
  <c r="AZ18" i="11"/>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<sst xmlns="http://schemas.openxmlformats.org/spreadsheetml/2006/main" count="2682" uniqueCount="1193">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</sst>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In6iay9R5q2nPTPJ/GGpnMhOaJl2/ZhnYtKRrhDodxnj2y0nKYE7D9meOwqoEQvui/XF/H6GFFpBkczEhzN6A==" saltValue="BdTDMeK5TmGVgutVG1Gg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2</v>
      </c>
      <c r="F10" s="240">
        <f>IF(ISNUMBER(Datos!K10),Datos!K10," - ")</f>
        <v>0</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19.753521126760564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153</v>
      </c>
      <c r="D17" s="239">
        <f>IF(ISNUMBER(IF(D_I="SI",Datos!I17,Datos!I17+Datos!AC17)),IF(D_I="SI",Datos!I17,Datos!I17+Datos!AC17)," - ")</f>
        <v>153</v>
      </c>
      <c r="E17" s="240">
        <f>IF(ISNUMBER(IF(D_I="SI",Datos!J17,Datos!J17+Datos!AD17)),IF(D_I="SI",Datos!J17,Datos!J17+Datos!AD17)," - ")</f>
        <v>87</v>
      </c>
      <c r="F17" s="240">
        <f>IF(ISNUMBER(IF(D_I="SI",Datos!K17,Datos!K17+Datos!AE17)),IF(D_I="SI",Datos!K17,Datos!K17+Datos!AE17)," - ")</f>
        <v>125</v>
      </c>
      <c r="G17" s="1390" t="str">
        <f>IF(Datos!E17&lt;&gt;"",Datos!E17,Datos!D17)</f>
        <v>04</v>
      </c>
      <c r="H17" s="241">
        <f>IF(ISNUMBER(IF(D_I="SI",Datos!L17,Datos!L17+Datos!AF17)),IF(D_I="SI",Datos!L17,Datos!L17+Datos!AF17)," - ")</f>
        <v>115</v>
      </c>
      <c r="I17" s="1400" t="str">
        <f>IF(ISNUMBER(Datos!AS17/Datos!BM17),Datos!AS17/Datos!BM17," - ")</f>
        <v xml:space="preserve"> - </v>
      </c>
      <c r="J17" s="1401">
        <f>IF(ISNUMBER(Datos!BY17/Datos!CN17),Datos!BY17/Datos!CN17," - ")</f>
        <v>0</v>
      </c>
      <c r="K17" s="244">
        <f t="shared" si="3"/>
        <v>-0.24836601307189543</v>
      </c>
      <c r="L17" s="1402">
        <f>IF(ISNUMBER(NºAsuntos!I17/NºAsuntos!G17),(NºAsuntos!I17/NºAsuntos!G17)*11," - ")</f>
        <v>10.120000000000001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17</v>
      </c>
      <c r="F18" s="240">
        <f>IF(ISNUMBER(IF(D_I="SI",Datos!K18,Datos!K18+Datos!AE18)),IF(D_I="SI",Datos!K18,Datos!K18+Datos!AE18)," - ")</f>
        <v>14</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0.12</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178</v>
      </c>
      <c r="D23" s="1407">
        <f>SUBTOTAL(9,D16:D22)</f>
        <v>178</v>
      </c>
      <c r="E23" s="1408">
        <f>SUBTOTAL(9,E16:E22)</f>
        <v>104</v>
      </c>
      <c r="F23" s="1408">
        <f>SUBTOTAL(9,F16:F22)</f>
        <v>139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188</v>
      </c>
      <c r="D31" s="1435">
        <f>SUBTOTAL(9,D9:D30)</f>
        <v>188</v>
      </c>
      <c r="E31" s="1436">
        <f>SUBTOTAL(9,E9:E30)</f>
        <v>106</v>
      </c>
      <c r="F31" s="1436">
        <f>SUBTOTAL(9,F9:F30)</f>
        <v>139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B9qwm82mxI2HlM2Kh16bmJHnseVSkJtR2EM3hfBwrzDdcCh9OVujEt1t7eIJSZzPaFgoc4wS2AIJ4cN3NLf4w==" saltValue="CYEzcLZHO/qLQVrbbUQz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qs+1A/87/fyOEqhJuXHMsQZGV5XqhGDpfw2WIs99U1tXO1kDeA5x//ZOG9dQtULXhvAZqcJh9hK/HGsvlJgzA==" saltValue="8s/VC5h5RRMixtT4vzot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2</v>
      </c>
      <c r="K10" s="194">
        <v>0</v>
      </c>
      <c r="L10" s="194">
        <v>12</v>
      </c>
      <c r="M10" s="194">
        <v>0</v>
      </c>
      <c r="N10" s="194">
        <v>0</v>
      </c>
      <c r="O10" s="194">
        <v>0</v>
      </c>
      <c r="P10" s="194">
        <v>0</v>
      </c>
      <c r="Q10" s="194">
        <v>0</v>
      </c>
      <c r="R10" s="194">
        <v>0</v>
      </c>
      <c r="S10" s="194">
        <v>10</v>
      </c>
      <c r="T10" s="194">
        <v>1</v>
      </c>
      <c r="U10" s="194">
        <v>0</v>
      </c>
      <c r="V10" s="194">
        <v>11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v>
      </c>
      <c r="BA10" s="139">
        <f t="shared" si="0"/>
        <v>0</v>
      </c>
      <c r="BB10" s="139">
        <f t="shared" si="0"/>
        <v>11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247</v>
      </c>
      <c r="J12" s="196">
        <v>122</v>
      </c>
      <c r="K12" s="196">
        <v>132</v>
      </c>
      <c r="L12" s="196">
        <v>237</v>
      </c>
      <c r="M12" s="196">
        <v>57</v>
      </c>
      <c r="N12" s="196">
        <v>140</v>
      </c>
      <c r="O12" s="194">
        <v>10</v>
      </c>
      <c r="P12" s="196">
        <v>42</v>
      </c>
      <c r="Q12" s="196">
        <v>143</v>
      </c>
      <c r="R12" s="196">
        <v>413</v>
      </c>
      <c r="S12" s="196">
        <v>334</v>
      </c>
      <c r="T12" s="196">
        <v>75</v>
      </c>
      <c r="U12" s="196">
        <v>132</v>
      </c>
      <c r="V12" s="196">
        <v>277</v>
      </c>
      <c r="W12" s="196">
        <v>57</v>
      </c>
      <c r="X12" s="202">
        <v>140</v>
      </c>
      <c r="Y12" s="204">
        <v>15</v>
      </c>
      <c r="Z12" s="194">
        <v>13</v>
      </c>
      <c r="AA12" s="194">
        <v>10</v>
      </c>
      <c r="AB12" s="194">
        <v>18</v>
      </c>
      <c r="AC12" s="196">
        <v>0</v>
      </c>
      <c r="AD12" s="196">
        <v>0</v>
      </c>
      <c r="AE12" s="196">
        <v>0</v>
      </c>
      <c r="AF12" s="202">
        <v>0</v>
      </c>
      <c r="AG12" s="215">
        <v>23</v>
      </c>
      <c r="AH12" s="196">
        <v>40</v>
      </c>
      <c r="AI12" s="196">
        <v>10</v>
      </c>
      <c r="AJ12" s="216">
        <v>53</v>
      </c>
      <c r="AK12" s="195">
        <v>0</v>
      </c>
      <c r="AL12" s="196">
        <v>0</v>
      </c>
      <c r="AM12" s="196">
        <v>0</v>
      </c>
      <c r="AN12" s="202">
        <v>0</v>
      </c>
      <c r="AO12" s="283">
        <v>1</v>
      </c>
      <c r="AP12" s="168">
        <v>1</v>
      </c>
      <c r="AQ12" s="168">
        <v>1</v>
      </c>
      <c r="AR12" s="167">
        <v>1</v>
      </c>
      <c r="AS12" s="381" t="s">
        <v>1075</v>
      </c>
      <c r="AT12" s="216"/>
      <c r="AU12" s="215"/>
      <c r="AV12" s="216"/>
      <c r="AW12" s="215"/>
      <c r="AX12" s="216"/>
      <c r="AY12" s="136">
        <f t="shared" si="1"/>
        <v>357</v>
      </c>
      <c r="AZ12" s="137">
        <f t="shared" si="1"/>
        <v>115</v>
      </c>
      <c r="BA12" s="137">
        <f t="shared" si="1"/>
        <v>142</v>
      </c>
      <c r="BB12" s="137">
        <f t="shared" si="1"/>
        <v>330</v>
      </c>
      <c r="BC12" s="135">
        <f>IF(ISNUMBER(X12),X12," - ")</f>
        <v>140</v>
      </c>
      <c r="BD12" s="136">
        <f t="shared" si="2"/>
        <v>1.2347826086956522</v>
      </c>
      <c r="BE12" s="137">
        <f t="shared" si="3"/>
        <v>2.323943661971831</v>
      </c>
      <c r="BF12" s="137">
        <f t="shared" si="4"/>
        <v>0.9859154929577465</v>
      </c>
      <c r="BG12" s="209">
        <f t="shared" si="5"/>
        <v>3.323943661971831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257</v>
      </c>
      <c r="J14" s="197">
        <f t="shared" si="7"/>
        <v>124</v>
      </c>
      <c r="K14" s="197">
        <f t="shared" si="7"/>
        <v>132</v>
      </c>
      <c r="L14" s="197">
        <f t="shared" si="7"/>
        <v>249</v>
      </c>
      <c r="M14" s="197">
        <f t="shared" si="7"/>
        <v>57</v>
      </c>
      <c r="N14" s="197">
        <f t="shared" si="7"/>
        <v>140</v>
      </c>
      <c r="O14" s="197">
        <f t="shared" si="7"/>
        <v>10</v>
      </c>
      <c r="P14" s="197">
        <f t="shared" si="7"/>
        <v>42</v>
      </c>
      <c r="Q14" s="197">
        <f t="shared" si="7"/>
        <v>143</v>
      </c>
      <c r="R14" s="197">
        <f t="shared" si="7"/>
        <v>413</v>
      </c>
      <c r="S14" s="197">
        <f t="shared" si="7"/>
        <v>344</v>
      </c>
      <c r="T14" s="197">
        <f t="shared" si="7"/>
        <v>76</v>
      </c>
      <c r="U14" s="197">
        <f t="shared" si="7"/>
        <v>132</v>
      </c>
      <c r="V14" s="197">
        <f t="shared" si="7"/>
        <v>288</v>
      </c>
      <c r="W14" s="197">
        <f t="shared" si="7"/>
        <v>57</v>
      </c>
      <c r="X14" s="197">
        <f t="shared" si="7"/>
        <v>140</v>
      </c>
      <c r="Y14" s="197">
        <f t="shared" si="7"/>
        <v>15</v>
      </c>
      <c r="Z14" s="197">
        <f t="shared" si="7"/>
        <v>13</v>
      </c>
      <c r="AA14" s="197">
        <f t="shared" si="7"/>
        <v>10</v>
      </c>
      <c r="AB14" s="197">
        <f t="shared" si="7"/>
        <v>18</v>
      </c>
      <c r="AC14" s="197">
        <f t="shared" si="7"/>
        <v>0</v>
      </c>
      <c r="AD14" s="197">
        <f t="shared" si="7"/>
        <v>0</v>
      </c>
      <c r="AE14" s="197">
        <f t="shared" si="7"/>
        <v>0</v>
      </c>
      <c r="AF14" s="197">
        <f>SUBTOTAL(9,AF9:AF13)</f>
        <v>0</v>
      </c>
      <c r="AG14" s="197">
        <f t="shared" ref="AG14:AT14" si="8">SUBTOTAL(9,AG8:AG13)</f>
        <v>23</v>
      </c>
      <c r="AH14" s="197">
        <f t="shared" si="8"/>
        <v>40</v>
      </c>
      <c r="AI14" s="197">
        <f t="shared" si="8"/>
        <v>10</v>
      </c>
      <c r="AJ14" s="197">
        <f t="shared" si="8"/>
        <v>53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367</v>
      </c>
      <c r="AZ14" s="197">
        <f>SUBTOTAL(9,AZ8:AZ13)</f>
        <v>116</v>
      </c>
      <c r="BA14" s="197">
        <f>SUBTOTAL(9,BA8:BA13)</f>
        <v>142</v>
      </c>
      <c r="BB14" s="197">
        <f>SUBTOTAL(9,BB8:BB13)</f>
        <v>341</v>
      </c>
      <c r="BC14" s="197">
        <f>SUBTOTAL(9,BC8:BC13)</f>
        <v>140</v>
      </c>
      <c r="BD14" s="219">
        <f>IF(ISNUMBER(BA14/AZ14),BA14/AZ14," - ")</f>
        <v>1.2241379310344827</v>
      </c>
      <c r="BE14" s="220">
        <f>IF(ISNUMBER(BB14/BA14),BB14/BA14, " - ")</f>
        <v>2.4014084507042255</v>
      </c>
      <c r="BF14" s="220">
        <f>IF(ISNUMBER(BC14/BA14),BC14/BA14, " - ")</f>
        <v>0.9859154929577465</v>
      </c>
      <c r="BG14" s="221">
        <f>IF(ISNUMBER((AY14+AZ14)/BA14),(AY14+AZ14)/BA14," - ")</f>
        <v>3.4014084507042255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153</v>
      </c>
      <c r="J17" s="196">
        <v>87</v>
      </c>
      <c r="K17" s="196">
        <v>125</v>
      </c>
      <c r="L17" s="196">
        <v>115</v>
      </c>
      <c r="M17" s="196">
        <v>75</v>
      </c>
      <c r="N17" s="196">
        <v>40</v>
      </c>
      <c r="O17" s="194">
        <v>0</v>
      </c>
      <c r="P17" s="196">
        <v>27</v>
      </c>
      <c r="Q17" s="196">
        <v>0</v>
      </c>
      <c r="R17" s="196">
        <v>52</v>
      </c>
      <c r="S17" s="196">
        <v>211</v>
      </c>
      <c r="T17" s="196">
        <v>70</v>
      </c>
      <c r="U17" s="196">
        <v>125</v>
      </c>
      <c r="V17" s="196">
        <v>156</v>
      </c>
      <c r="W17" s="196">
        <v>75</v>
      </c>
      <c r="X17" s="202">
        <v>40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211</v>
      </c>
      <c r="AZ17" s="137">
        <f t="shared" si="10"/>
        <v>70</v>
      </c>
      <c r="BA17" s="137">
        <f t="shared" si="10"/>
        <v>125</v>
      </c>
      <c r="BB17" s="137">
        <f t="shared" si="10"/>
        <v>156</v>
      </c>
      <c r="BC17" s="135">
        <f>IF(ISNUMBER(W17),W17," - ")</f>
        <v>75</v>
      </c>
      <c r="BD17" s="136">
        <f t="shared" ref="BD17:BD22" si="12">IF(ISNUMBER(BA17/AZ17),BA17/AZ17," - ")</f>
        <v>1.7857142857142858</v>
      </c>
      <c r="BE17" s="137">
        <f t="shared" ref="BE17:BE22" si="13">IF(ISNUMBER(BB17/BA17),BB17/BA17, " - ")</f>
        <v>1.248</v>
      </c>
      <c r="BF17" s="137">
        <f t="shared" ref="BF17:BF22" si="14">IF(ISNUMBER(BC17/BA17),BC17/BA17, " - ")</f>
        <v>0.6</v>
      </c>
      <c r="BG17" s="209">
        <f t="shared" si="11"/>
        <v>2.2480000000000002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17</v>
      </c>
      <c r="K18" s="196">
        <v>14</v>
      </c>
      <c r="L18" s="196">
        <v>28</v>
      </c>
      <c r="M18" s="196">
        <v>4</v>
      </c>
      <c r="N18" s="196">
        <v>16</v>
      </c>
      <c r="O18" s="196">
        <v>0</v>
      </c>
      <c r="P18" s="196">
        <v>0</v>
      </c>
      <c r="Q18" s="196">
        <v>0</v>
      </c>
      <c r="R18" s="196">
        <v>0</v>
      </c>
      <c r="S18" s="196">
        <v>32</v>
      </c>
      <c r="T18" s="196">
        <v>17</v>
      </c>
      <c r="U18" s="196">
        <v>14</v>
      </c>
      <c r="V18" s="196">
        <v>35</v>
      </c>
      <c r="W18" s="196">
        <v>4</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17</v>
      </c>
      <c r="BA18" s="139">
        <f t="shared" si="15"/>
        <v>14</v>
      </c>
      <c r="BB18" s="139">
        <f t="shared" si="15"/>
        <v>35</v>
      </c>
      <c r="BC18" s="135">
        <f>IF(ISNUMBER(W18),W18," - ")</f>
        <v>4</v>
      </c>
      <c r="BD18" s="136">
        <f>IF(ISNUMBER(BA18/AZ18),BA18/AZ18," - ")</f>
        <v>0.82352941176470584</v>
      </c>
      <c r="BE18" s="137">
        <f>IF(ISNUMBER(BB18/BA18),BB18/BA18, " - ")</f>
        <v>2.5</v>
      </c>
      <c r="BF18" s="137">
        <f>IF(ISNUMBER(BC18/BA18),BC18/BA18, " - ")</f>
        <v>0.2857142857142857</v>
      </c>
      <c r="BG18" s="209">
        <f>IF(ISNUMBER((AY18+AZ18)/BA18),(AY18+AZ18)/BA18," - ")</f>
        <v>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178</v>
      </c>
      <c r="J23" s="197">
        <f t="shared" si="21"/>
        <v>104</v>
      </c>
      <c r="K23" s="197">
        <f t="shared" si="21"/>
        <v>139</v>
      </c>
      <c r="L23" s="197">
        <f t="shared" si="21"/>
        <v>143</v>
      </c>
      <c r="M23" s="197">
        <f t="shared" si="21"/>
        <v>79</v>
      </c>
      <c r="N23" s="197">
        <f t="shared" si="21"/>
        <v>56</v>
      </c>
      <c r="O23" s="197">
        <f t="shared" si="21"/>
        <v>0</v>
      </c>
      <c r="P23" s="197">
        <f t="shared" si="21"/>
        <v>27</v>
      </c>
      <c r="Q23" s="197">
        <f t="shared" si="21"/>
        <v>0</v>
      </c>
      <c r="R23" s="197">
        <f t="shared" si="21"/>
        <v>52</v>
      </c>
      <c r="S23" s="197">
        <f t="shared" si="21"/>
        <v>243</v>
      </c>
      <c r="T23" s="197">
        <f t="shared" si="21"/>
        <v>87</v>
      </c>
      <c r="U23" s="197">
        <f t="shared" si="21"/>
        <v>139</v>
      </c>
      <c r="V23" s="197">
        <f t="shared" si="21"/>
        <v>191</v>
      </c>
      <c r="W23" s="197">
        <f t="shared" si="21"/>
        <v>79</v>
      </c>
      <c r="X23" s="197">
        <f t="shared" si="21"/>
        <v>56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243</v>
      </c>
      <c r="AZ23" s="197">
        <f>SUBTOTAL(9,AZ15:AZ22)</f>
        <v>87</v>
      </c>
      <c r="BA23" s="197">
        <f>SUBTOTAL(9,BA15:BA22)</f>
        <v>139</v>
      </c>
      <c r="BB23" s="197">
        <f>SUBTOTAL(9,BB15:BB22)</f>
        <v>191</v>
      </c>
      <c r="BC23" s="197">
        <f>SUBTOTAL(9,BC15:BC22)</f>
        <v>79</v>
      </c>
      <c r="BD23" s="219">
        <f>IF(ISNUMBER(BA23/AZ23),BA23/AZ23," - ")</f>
        <v>1.5977011494252873</v>
      </c>
      <c r="BE23" s="220">
        <f>IF(ISNUMBER(BB23/BA23),BB23/BA23, " - ")</f>
        <v>1.3741007194244603</v>
      </c>
      <c r="BF23" s="220">
        <f>IF(ISNUMBER(BC23/BA23),BC23/BA23, " - ")</f>
        <v>0.56834532374100721</v>
      </c>
      <c r="BG23" s="221">
        <f>IF(ISNUMBER((AY23+AZ23)/BA23),(AY23+AZ23)/BA23," - ")</f>
        <v>2.3741007194244603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435</v>
      </c>
      <c r="J31" s="144">
        <f t="shared" si="36"/>
        <v>228</v>
      </c>
      <c r="K31" s="144">
        <f t="shared" si="36"/>
        <v>271</v>
      </c>
      <c r="L31" s="144">
        <f t="shared" si="36"/>
        <v>392</v>
      </c>
      <c r="M31" s="144">
        <f t="shared" si="36"/>
        <v>136</v>
      </c>
      <c r="N31" s="144">
        <f t="shared" si="36"/>
        <v>196</v>
      </c>
      <c r="O31" s="144">
        <f t="shared" si="36"/>
        <v>10</v>
      </c>
      <c r="P31" s="144">
        <f t="shared" si="36"/>
        <v>69</v>
      </c>
      <c r="Q31" s="144">
        <f t="shared" si="36"/>
        <v>143</v>
      </c>
      <c r="R31" s="144">
        <f t="shared" si="36"/>
        <v>465</v>
      </c>
      <c r="S31" s="144">
        <f t="shared" si="36"/>
        <v>587</v>
      </c>
      <c r="T31" s="144">
        <f t="shared" si="36"/>
        <v>163</v>
      </c>
      <c r="U31" s="144">
        <f t="shared" si="36"/>
        <v>271</v>
      </c>
      <c r="V31" s="144">
        <f t="shared" si="36"/>
        <v>479</v>
      </c>
      <c r="W31" s="144">
        <f t="shared" si="36"/>
        <v>136</v>
      </c>
      <c r="X31" s="144">
        <f t="shared" si="36"/>
        <v>196</v>
      </c>
      <c r="Y31" s="144">
        <f t="shared" si="36"/>
        <v>15</v>
      </c>
      <c r="Z31" s="144">
        <f t="shared" si="36"/>
        <v>13</v>
      </c>
      <c r="AA31" s="144">
        <f t="shared" si="36"/>
        <v>10</v>
      </c>
      <c r="AB31" s="144">
        <f t="shared" si="36"/>
        <v>18</v>
      </c>
      <c r="AC31" s="144">
        <f t="shared" si="36"/>
        <v>0</v>
      </c>
      <c r="AD31" s="144">
        <f t="shared" si="36"/>
        <v>0</v>
      </c>
      <c r="AE31" s="144">
        <f t="shared" si="36"/>
        <v>0</v>
      </c>
      <c r="AF31" s="144">
        <f t="shared" si="36"/>
        <v>0</v>
      </c>
      <c r="AG31" s="144">
        <f t="shared" si="36"/>
        <v>23</v>
      </c>
      <c r="AH31" s="144">
        <f t="shared" si="36"/>
        <v>40</v>
      </c>
      <c r="AI31" s="144">
        <f t="shared" si="36"/>
        <v>10</v>
      </c>
      <c r="AJ31" s="144">
        <f t="shared" si="36"/>
        <v>53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610</v>
      </c>
      <c r="AZ31" s="144">
        <f>SUBTOTAL(9,AZ9:AZ30)</f>
        <v>203</v>
      </c>
      <c r="BA31" s="144">
        <f>SUBTOTAL(9,BA9:BA30)</f>
        <v>281</v>
      </c>
      <c r="BB31" s="144">
        <f>SUBTOTAL(9,BB9:BB30)</f>
        <v>532</v>
      </c>
      <c r="BC31" s="145">
        <f>SUBTOTAL(9,BC9:BC30)</f>
        <v>219</v>
      </c>
      <c r="BD31" s="227">
        <f>IF(ISNUMBER(BA31/AZ31),BA31/AZ31," - ")</f>
        <v>1.3842364532019704</v>
      </c>
      <c r="BE31" s="224">
        <f>IF(ISNUMBER(BB31/BA31),BB31/BA31, " - ")</f>
        <v>1.893238434163701</v>
      </c>
      <c r="BF31" s="224">
        <f>IF(ISNUMBER(BC31/BA31),BC31/BA31, " - ")</f>
        <v>0.77935943060498225</v>
      </c>
      <c r="BG31" s="145">
        <f>IF(ISNUMBER((AY31+AZ31)/BA31),(AY31+AZ31)/BA31," - ")</f>
        <v>2.8932384341637012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f8cF55VoNl7+5kfI3KoE8C1YsJleQTpfPvtmWo2Tpkh4rq4BsKJ6HRT9Kl6yBF3KeskOidu6sEn86cLGF2syw==" saltValue="WfONLLlMLOusmNi+aMKI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aKPG3SBgC/XfJTQhXh7Jle/BfHP2f7vSSw+/MfgnY0yLhqQgnp5s+9fvxKfDv6KHLoc+cHMeTxfHaQ4u6liaA==" saltValue="ub6OEU0vW1nlQM0LWAkc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AGUILAR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413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140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1.0518518518518518</v>
      </c>
      <c r="BH12" s="764">
        <f>IF(ISNUMBER(((IF(J_V="SI",Datos!L12/Datos!K12,(Datos!L12+Datos!AB12)/(Datos!K12+Datos!AA12)))*11)/factor_trimestre),((IF(J_V="SI",Datos!L12/Datos!K12,(Datos!L12+Datos!AB12)/(Datos!K12+Datos!AA12)))*11)/factor_trimestre," - ")</f>
        <v>3.591549295774648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-0.19649805447470817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143</v>
      </c>
      <c r="AD14" s="1198">
        <f t="shared" si="2"/>
        <v>0</v>
      </c>
      <c r="AE14" s="1198">
        <f t="shared" si="2"/>
        <v>0</v>
      </c>
      <c r="AF14" s="1198">
        <f t="shared" si="2"/>
        <v>12</v>
      </c>
      <c r="AG14" s="1198">
        <f t="shared" si="2"/>
        <v>0</v>
      </c>
      <c r="AH14" s="1198">
        <f t="shared" si="2"/>
        <v>18</v>
      </c>
      <c r="AI14" s="1198">
        <f t="shared" si="2"/>
        <v>0</v>
      </c>
      <c r="AJ14" s="1198">
        <f t="shared" si="2"/>
        <v>0</v>
      </c>
      <c r="AK14" s="1198">
        <f t="shared" si="2"/>
        <v>0</v>
      </c>
      <c r="AL14" s="1198">
        <f t="shared" si="2"/>
        <v>0</v>
      </c>
      <c r="AM14" s="1198">
        <f t="shared" si="2"/>
        <v>413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140</v>
      </c>
      <c r="BE14" s="1198">
        <f t="shared" si="2"/>
        <v>0</v>
      </c>
      <c r="BF14" s="1198">
        <f t="shared" si="2"/>
        <v>0</v>
      </c>
      <c r="BG14" s="1198">
        <f>IF(ISNUMBER(Datos!K14/Datos!J14),Datos!K14/Datos!J14," - ")</f>
        <v>1.064516129032258</v>
      </c>
      <c r="BH14" s="1202">
        <f>IF(ISNUMBER(((Datos!L14/Datos!K14)*11)/factor_trimestre),((Datos!L14/Datos!K14)*11)/factor_trimestre," - ")</f>
        <v>3.7727272727272729</v>
      </c>
      <c r="BI14" s="1198">
        <f>IF(ISNUMBER('Resol  Asuntos'!D14/NºAsuntos!G14),'Resol  Asuntos'!D14/NºAsuntos!G14," - ")</f>
        <v>0.40140845070422537</v>
      </c>
      <c r="BJ14" s="1198" t="str">
        <f>IF(ISNUMBER(Datos!CI14/Datos!CJ14),Datos!CI14/Datos!CJ14," - ")</f>
        <v xml:space="preserve"> - </v>
      </c>
      <c r="BK14" s="1198">
        <f>SUBTOTAL(9,BK8:BK13)</f>
        <v>0</v>
      </c>
      <c r="BL14" s="1198">
        <f>IF(ISNUMBER((I14-AB14+L14)/(F14)),(I14-AB14+L14)/(F14)," - ")</f>
        <v>0</v>
      </c>
      <c r="BM14" s="1203">
        <f>SUBTOTAL(9,BM9:BM13)</f>
        <v>-0.19649805447470817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153</v>
      </c>
      <c r="G17" s="743">
        <f>IF(ISNUMBER(IF(D_I="SI",Datos!I17,Datos!I17+Datos!AC17)),IF(D_I="SI",Datos!I17,Datos!I17+Datos!AC17)," - ")</f>
        <v>153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125</v>
      </c>
      <c r="AC17" s="240">
        <f>IF(ISNUMBER(Datos!Q17),Datos!Q17," - ")</f>
        <v>0</v>
      </c>
      <c r="AD17" s="374"/>
      <c r="AE17" s="562"/>
      <c r="AF17" s="741">
        <f>IF(ISNUMBER(IF(D_I="SI",Datos!L17,Datos!L17+Datos!AF17)),IF(D_I="SI",Datos!L17,Datos!L17+Datos!AF17)," - ")</f>
        <v>115</v>
      </c>
      <c r="AG17" s="374"/>
      <c r="AH17" s="374"/>
      <c r="AI17" s="374"/>
      <c r="AJ17" s="549"/>
      <c r="AK17" s="374"/>
      <c r="AL17" s="545"/>
      <c r="AM17" s="375">
        <f>IF(ISNUMBER(Datos!R17),Datos!R17," - ")</f>
        <v>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75</v>
      </c>
      <c r="BD17" s="243">
        <f>IF(ISNUMBER(Datos!N17),Datos!N17," - ")</f>
        <v>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1.4367816091954022</v>
      </c>
      <c r="BH17" s="764">
        <f>IF(ISNUMBER(((IF(D_I="SI",Datos!L17/Datos!K17,(Datos!L17+Datos!AF17)/(Datos!K17+Datos!AE17)))*11)/factor_trimestre),((IF(D_I="SI",Datos!L17/Datos!K17,(Datos!L17+Datos!AF17)/(Datos!K17+Datos!AE17)))*11)/factor_trimestre," - ")</f>
        <v>1.84</v>
      </c>
      <c r="BI17" s="266">
        <f>IF(ISNUMBER('Resol  Asuntos'!D17/NºAsuntos!G17),'Resol  Asuntos'!D17/NºAsuntos!G17," - ")</f>
        <v>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28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0.82352941176470584</v>
      </c>
      <c r="BH18" s="764">
        <f>IF(ISNUMBER(((IF(D_I="SI",Datos!L18/Datos!K18,(Datos!L18+Datos!AF18)/(Datos!K18+Datos!AE18)))*11)/factor_trimestre),((IF(D_I="SI",Datos!L18/Datos!K18,(Datos!L18+Datos!AF18)/(Datos!K18+Datos!AE18)))*11)/factor_trimestre," - ")</f>
        <v>4</v>
      </c>
      <c r="BI18" s="763">
        <f>IF(ISNUMBER('Resol  Asuntos'!D18/NºAsuntos!G18),'Resol  Asuntos'!D18/NºAsuntos!G18," - ")</f>
        <v>0.2857142857142857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153</v>
      </c>
      <c r="G23" s="1197">
        <f>SUBTOTAL(9,G16:G22)</f>
        <v>178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139</v>
      </c>
      <c r="AC23" s="1198">
        <f t="shared" si="5"/>
        <v>0</v>
      </c>
      <c r="AD23" s="1198">
        <f t="shared" si="5"/>
        <v>0</v>
      </c>
      <c r="AE23" s="1198">
        <f t="shared" si="5"/>
        <v>0</v>
      </c>
      <c r="AF23" s="1198">
        <f t="shared" si="5"/>
        <v>143</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79</v>
      </c>
      <c r="BD23" s="1198">
        <f t="shared" si="5"/>
        <v>56</v>
      </c>
      <c r="BE23" s="1198">
        <f t="shared" si="5"/>
        <v>0</v>
      </c>
      <c r="BF23" s="1198">
        <f t="shared" si="5"/>
        <v>0</v>
      </c>
      <c r="BG23" s="1198">
        <f>IF(ISNUMBER(Datos!K23/Datos!J23),Datos!K23/Datos!J23," - ")</f>
        <v>1.3365384615384615</v>
      </c>
      <c r="BH23" s="1202">
        <f>IF(ISNUMBER(((Datos!L23/Datos!K23)*11)/factor_trimestre),((Datos!L23/Datos!K23)*11)/factor_trimestre," - ")</f>
        <v>2.0575539568345325</v>
      </c>
      <c r="BI23" s="1198">
        <f>SUBTOTAL(9,BI16:BI22)</f>
        <v>0.88571428571428568</v>
      </c>
      <c r="BJ23" s="1198">
        <f>SUBTOTAL(9,BJ16:BJ22)</f>
        <v>0</v>
      </c>
      <c r="BK23" s="1198">
        <f>SUBTOTAL(9,BK16:BK22)</f>
        <v>0</v>
      </c>
      <c r="BL23" s="1198">
        <f>IF(ISNUMBER((I23-AB23+L23)/(F23)),(I23-AB23+L23)/(F23)," - ")</f>
        <v>-0.90849673202614378</v>
      </c>
      <c r="BM23" s="1205">
        <f>IF(ISNUMBER((Datos!P23-Datos!Q23)/(Datos!R23-Datos!P23+Datos!Q23)),(Datos!P23-Datos!Q23)/(Datos!R23-Datos!P23+Datos!Q23)," - ")</f>
        <v>1.08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163</v>
      </c>
      <c r="G31" s="1117">
        <f t="shared" si="18"/>
        <v>188</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139</v>
      </c>
      <c r="AC31" s="1118">
        <f t="shared" si="19"/>
        <v>143</v>
      </c>
      <c r="AD31" s="1118">
        <f t="shared" si="19"/>
        <v>0</v>
      </c>
      <c r="AE31" s="1118">
        <f t="shared" si="19"/>
        <v>0</v>
      </c>
      <c r="AF31" s="1125">
        <f t="shared" si="19"/>
        <v>155</v>
      </c>
      <c r="AG31" s="1125">
        <f t="shared" si="19"/>
        <v>0</v>
      </c>
      <c r="AH31" s="1125">
        <f t="shared" si="19"/>
        <v>18</v>
      </c>
      <c r="AI31" s="1125">
        <f t="shared" si="19"/>
        <v>0</v>
      </c>
      <c r="AJ31" s="1118">
        <f t="shared" si="19"/>
        <v>0</v>
      </c>
      <c r="AK31" s="1125">
        <f t="shared" si="19"/>
        <v>0</v>
      </c>
      <c r="AL31" s="1125">
        <f t="shared" si="19"/>
        <v>0</v>
      </c>
      <c r="AM31" s="1125">
        <f t="shared" si="19"/>
        <v>465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136</v>
      </c>
      <c r="BD31" s="1117">
        <f t="shared" si="19"/>
        <v>196</v>
      </c>
      <c r="BE31" s="1117">
        <f t="shared" si="19"/>
        <v>0</v>
      </c>
      <c r="BF31" s="1127">
        <f t="shared" si="19"/>
        <v>0</v>
      </c>
      <c r="BG31" s="1223">
        <f>IF(ISNUMBER(Datos!K31/Datos!J31),Datos!K31/Datos!J31," - ")</f>
        <v>1.1885964912280702</v>
      </c>
      <c r="BH31" s="1223">
        <f>IF(ISNUMBER(((Datos!L31/Datos!K31)*11)/factor_trimestre),((Datos!L31/Datos!K31)*11)/factor_trimestre," - ")</f>
        <v>2.8929889298892988</v>
      </c>
      <c r="BI31" s="1103">
        <f>IF(ISNUMBER(Datos!J31/Datos!I31),Datos!J31/Datos!I31," - ")</f>
        <v>0.52413793103448281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-0.85276073619631898</v>
      </c>
      <c r="BM31" s="1188">
        <f>IF(ISNUMBER((Datos!P31-Datos!Q31+R31)/(Datos!R31-Datos!P31+Datos!Q31-R31)),(Datos!P31-Datos!Q31+R31)/(Datos!R31-Datos!P31+Datos!Q31-R31)," - ")</f>
        <v>-0.13729128014842301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53.714285714285715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76.557603584925943</v>
      </c>
      <c r="G33" s="674">
        <f>IF(ISNUMBER(STDEV(G8:G30)),STDEV(G8:G30),"-")</f>
        <v>77.159389762824262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63.379056177137585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36.11885142929421</v>
      </c>
      <c r="BD33" s="673"/>
      <c r="BE33" s="673">
        <f>IF(ISNUMBER(STDEV(BE8:BE30)),STDEV(BE8:BE30),"-")</f>
        <v>0</v>
      </c>
      <c r="BF33" s="678">
        <f>IF(ISNUMBER(STDEV(BF8:BF30)),STDEV(BF8:BF30),"-")</f>
        <v>0</v>
      </c>
      <c r="BG33" s="1052">
        <f>IF(ISNUMBER(STDEV(BG8:BG30)),STDEV(BG8:BG30),"-")</f>
        <v>0.51542637760061139</v>
      </c>
      <c r="BH33" s="1058">
        <f>IF(ISNUMBER(STDEV(BH8:BH30)),STDEV(BH8:BH30),"-")</f>
        <v>1.0206776556321138</v>
      </c>
      <c r="BI33" s="273">
        <f>IF(ISNUMBER(STDEV(BI8:BI30)),STDEV(BI8:BI30),"-")</f>
        <v>0.26264425375313799</v>
      </c>
      <c r="BJ33" s="244" t="str">
        <f>IF(ISNUMBER(BL33/BM33),BL33/BM33," - ")</f>
        <v xml:space="preserve"> - </v>
      </c>
      <c r="BK33" s="709"/>
      <c r="BL33" s="681">
        <f>IF(ISNUMBER(STDEV(BL8:BL30)),STDEV(BL8:BL30),"-")</f>
        <v>0.64240419990150399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6rSvZQJcrJtWKyPl8sMjJv8kKK/SyRqkh4JxwlpOsEiSLeuoe8L6WapiRW1rFjqE8KeJdZOBQ9qOTcloclv9w==" saltValue="AS6l2SJj4hTUxqfQnokr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AGUILAR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143</v>
      </c>
      <c r="AA12" s="551" t="str">
        <f>IF(ISNUMBER(IF(J_V="SI",Datos!L12,Datos!L12+Datos!AB12)-IF(Monitorios="SI",Datos!CD12,0)),
                          IF(J_V="SI",Datos!L12,Datos!L12+Datos!AB12)-IF(Monitorios="SI",Datos!CD12,0),
                          " - ")</f>
        <v xml:space="preserve"> - </v>
      </c>
      <c r="AB12" s="549"/>
      <c r="AC12" s="549"/>
      <c r="AD12" s="563"/>
      <c r="AE12" s="563">
        <f>IF(ISNUMBER(Datos!R12),Datos!R12," - ")</f>
        <v>413</v>
      </c>
      <c r="AF12" s="693" t="str">
        <f>IF(ISNUMBER(Datos!BV12),Datos!BV12," - ")</f>
        <v xml:space="preserve"> - </v>
      </c>
      <c r="AG12" s="552" t="str">
        <f>IF(ISNUMBER(Datos!DV12),Datos!DV12," - ")</f>
        <v xml:space="preserve"> - </v>
      </c>
      <c r="AH12" s="553"/>
      <c r="AI12" s="554"/>
      <c r="AJ12" s="552">
        <f>IF(ISNUMBER(Datos!M12),Datos!M12," - ")</f>
        <v>57</v>
      </c>
      <c r="AK12" s="693">
        <f>IF(ISNUMBER(Datos!N12),Datos!N12," - ")</f>
        <v>140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3.591549295774648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-0.19649805447470817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143</v>
      </c>
      <c r="AA14" s="1199">
        <f t="shared" si="3"/>
        <v>12</v>
      </c>
      <c r="AB14" s="1199">
        <f t="shared" si="3"/>
        <v>0</v>
      </c>
      <c r="AC14" s="1199">
        <f t="shared" si="3"/>
        <v>0</v>
      </c>
      <c r="AD14" s="1199">
        <f t="shared" si="3"/>
        <v>0</v>
      </c>
      <c r="AE14" s="1199">
        <f t="shared" si="3"/>
        <v>413</v>
      </c>
      <c r="AF14" s="1211">
        <f t="shared" si="3"/>
        <v>0</v>
      </c>
      <c r="AG14" s="1211">
        <f t="shared" si="3"/>
        <v>0</v>
      </c>
      <c r="AH14" s="1211">
        <f t="shared" si="3"/>
        <v>0</v>
      </c>
      <c r="AI14" s="1211">
        <f t="shared" si="3"/>
        <v>0</v>
      </c>
      <c r="AJ14" s="1211">
        <f t="shared" si="3"/>
        <v>57</v>
      </c>
      <c r="AK14" s="1211">
        <f t="shared" si="3"/>
        <v>140</v>
      </c>
      <c r="AL14" s="1211">
        <f t="shared" si="3"/>
        <v>0</v>
      </c>
      <c r="AM14" s="1211">
        <f t="shared" si="3"/>
        <v>0</v>
      </c>
      <c r="AN14" s="1211">
        <f t="shared" si="3"/>
        <v>0</v>
      </c>
      <c r="AO14" s="1203">
        <f>IF(ISNUMBER(((NºAsuntos!I14/NºAsuntos!G14)*11)/factor_trimestre),((NºAsuntos!I14/NºAsuntos!G14)*11)/factor_trimestre," - ")</f>
        <v>3.76056338028169</v>
      </c>
      <c r="AP14" s="1213" t="str">
        <f>IF(ISNUMBER(Datos!CI14/Datos!CJ14),Datos!CI14/Datos!CJ14," - ")</f>
        <v xml:space="preserve"> - </v>
      </c>
      <c r="AQ14" s="1236">
        <f t="shared" ref="AQ14:AV14" si="4">SUBTOTAL(9,AQ9:AQ13)</f>
        <v>0</v>
      </c>
      <c r="AR14" s="1236">
        <f t="shared" si="4"/>
        <v>-0.19649805447470817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153</v>
      </c>
      <c r="G17" s="552">
        <f>IF(ISNUMBER(IF(D_I="SI",Datos!I17,Datos!I17+Datos!AC17)),IF(D_I="SI",Datos!I17,Datos!I17+Datos!AC17)," - ")</f>
        <v>153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125</v>
      </c>
      <c r="Z17" s="805">
        <f>IF(ISNUMBER(Datos!Q17),Datos!Q17," - ")</f>
        <v>0</v>
      </c>
      <c r="AA17" s="551">
        <f>IF(ISNUMBER(IF(D_I="SI",Datos!L17,Datos!L17+Datos!AF17)),IF(D_I="SI",Datos!L17,Datos!L17+Datos!AF17)," - ")</f>
        <v>115</v>
      </c>
      <c r="AB17" s="549"/>
      <c r="AC17" s="549"/>
      <c r="AD17" s="563"/>
      <c r="AE17" s="563">
        <f>IF(ISNUMBER(Datos!R17),Datos!R17," - ")</f>
        <v>52</v>
      </c>
      <c r="AF17" s="693" t="str">
        <f>IF(ISNUMBER(Datos!BV17),Datos!BV17," - ")</f>
        <v xml:space="preserve"> - </v>
      </c>
      <c r="AG17" s="552"/>
      <c r="AH17" s="553"/>
      <c r="AI17" s="554"/>
      <c r="AJ17" s="552">
        <f>IF(ISNUMBER(Datos!M17),Datos!M17," - ")</f>
        <v>75</v>
      </c>
      <c r="AK17" s="693">
        <f>IF(ISNUMBER(Datos!N17),Datos!N17," - ")</f>
        <v>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28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153</v>
      </c>
      <c r="G23" s="1197">
        <f>SUBTOTAL(9,G16:G22)</f>
        <v>178</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139</v>
      </c>
      <c r="Z23" s="1240">
        <f t="shared" si="6"/>
        <v>0</v>
      </c>
      <c r="AA23" s="1240">
        <f t="shared" si="6"/>
        <v>143</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79</v>
      </c>
      <c r="AK23" s="1240">
        <f t="shared" si="6"/>
        <v>56</v>
      </c>
      <c r="AL23" s="1240">
        <f t="shared" si="6"/>
        <v>0</v>
      </c>
      <c r="AM23" s="1240">
        <f t="shared" si="6"/>
        <v>0</v>
      </c>
      <c r="AN23" s="1240">
        <f t="shared" si="6"/>
        <v>0</v>
      </c>
      <c r="AO23" s="1242">
        <f>IF(ISNUMBER(((NºAsuntos!I23/NºAsuntos!G23)*11)/factor_trimestre),((NºAsuntos!I23/NºAsuntos!G23)*11)/factor_trimestre," - ")</f>
        <v>2.0575539568345325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163</v>
      </c>
      <c r="G31" s="1117">
        <f t="shared" si="12"/>
        <v>188</v>
      </c>
      <c r="H31" s="1118">
        <f t="shared" si="12"/>
        <v>0</v>
      </c>
      <c r="I31" s="1117">
        <f t="shared" si="12"/>
        <v>0</v>
      </c>
      <c r="J31" s="1119">
        <f t="shared" si="12"/>
        <v>0</v>
      </c>
      <c r="K31" s="1117">
        <f t="shared" si="12"/>
        <v>0</v>
      </c>
      <c r="L31" s="1120">
        <f t="shared" si="12"/>
        <v>0</v>
      </c>
      <c r="M31" s="1117">
        <f t="shared" si="12"/>
        <v>0</v>
      </c>
      <c r="N31" s="1118">
        <f t="shared" si="12"/>
        <v>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139</v>
      </c>
      <c r="Z31" s="1124">
        <f t="shared" si="13"/>
        <v>143</v>
      </c>
      <c r="AA31" s="1125">
        <f t="shared" si="13"/>
        <v>155</v>
      </c>
      <c r="AB31" s="1125">
        <f t="shared" si="13"/>
        <v>0</v>
      </c>
      <c r="AC31" s="1125">
        <f t="shared" si="13"/>
        <v>0</v>
      </c>
      <c r="AD31" s="1126">
        <f t="shared" si="13"/>
        <v>0</v>
      </c>
      <c r="AE31" s="1126">
        <f t="shared" si="13"/>
        <v>465</v>
      </c>
      <c r="AF31" s="1127">
        <f t="shared" si="13"/>
        <v>0</v>
      </c>
      <c r="AG31" s="1128">
        <f t="shared" si="13"/>
        <v>0</v>
      </c>
      <c r="AH31" s="1129">
        <f t="shared" si="13"/>
        <v>0</v>
      </c>
      <c r="AI31" s="1127">
        <f t="shared" si="13"/>
        <v>0</v>
      </c>
      <c r="AJ31" s="1117">
        <f t="shared" si="13"/>
        <v>136</v>
      </c>
      <c r="AK31" s="1117">
        <f t="shared" si="13"/>
        <v>196</v>
      </c>
      <c r="AL31" s="1117">
        <f t="shared" si="13"/>
        <v>0</v>
      </c>
      <c r="AM31" s="1130">
        <f t="shared" si="13"/>
        <v>0</v>
      </c>
      <c r="AN31" s="1120">
        <f>IF(ISNUMBER(Datos!K31/Datos!J31),Datos!K31/Datos!J31," - ")</f>
        <v>1.1885964912280702</v>
      </c>
      <c r="AO31" s="1120">
        <f>IF(ISNUMBER(FIND("06",Criterios!A8,1)),(IF(ISNUMBER(((Datos!R31/Datos!Q31)*11)/factor_trimestre),((Datos!R31/Datos!Q31)*11)/factor_trimestre," - ")),(IF(ISNUMBER(((Datos!L31/Datos!K31)*11)/factor_trimestre),((Datos!L31/Datos!K31)*11)/factor_trimestre," - ")))</f>
        <v>2.8929889298892988</v>
      </c>
      <c r="AP31" s="1131" t="str">
        <f>IF(ISNUMBER(Datos!CI31/Datos!CJ31),Datos!CI31/Datos!CJ31," - ")</f>
        <v xml:space="preserve"> - </v>
      </c>
      <c r="AQ31" s="1131">
        <f>IF(OR(ISNUMBER(FIND("01",Criterios!A8,1)),ISNUMBER(FIND("02",Criterios!A8,1)),ISNUMBER(FIND("03",Criterios!A8,1)),ISNUMBER(FIND("04",Criterios!A8,1))),(J31-Y31+K31)/(F31-K31),(I31-Y31+K31)/(F31-K31))</f>
        <v>-0.85276073619631898</v>
      </c>
      <c r="AR31" s="1131">
        <f>IF(ISNUMBER((Datos!P31-Datos!Q31+O31)/(Datos!R31-Datos!P31+Datos!Q31-O31)),(Datos!P31-Datos!Q31+O31)/(Datos!R31-Datos!P31+Datos!Q31-O31)," - ")</f>
        <v>-0.13729128014842301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53.714285714285715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76.557603584925943</v>
      </c>
      <c r="G33" s="674">
        <f>IF(ISNUMBER(STDEV(G8:G30)),STDEV(G8:G30),"-")</f>
        <v>77.159389762824262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36.11885142929421</v>
      </c>
      <c r="AK33" s="276"/>
      <c r="AL33" s="276">
        <f>IF(ISNUMBER(STDEV(AL8:AL30)),STDEV(AL8:AL30),"-")</f>
        <v>0</v>
      </c>
      <c r="AM33" s="278">
        <f>IF(ISNUMBER(STDEV(AM8:AM30)),STDEV(AM8:AM30),"-")</f>
        <v>0</v>
      </c>
      <c r="AN33" s="660">
        <f>IF(ISNUMBER(STDEV(AN8:AN30)),STDEV(AN8:AN30),"-")</f>
        <v>0</v>
      </c>
      <c r="AO33" s="661">
        <f>IF(ISNUMBER(STDEV(AO8:AO30)),STDEV(AO8:AO30),"-")</f>
        <v>1.0185437010162386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MZhSJGpjRqwz0eWoBwM2i0Qrz+LioOzcStSKc9VKIoubovZsJw/MhgLRO4awzlkazT0HjsLPWOc1L7amp3I8w==" saltValue="oWazGBxPT4/Q26bDVHNk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NglSSnmyvV9IZD8ZNTTozmcF5tMkyLF1FbNNP0Yy2LpSFBklOskNv2tPry/UQE47Mgv0wyg9eclO5S105qD0w==" saltValue="oJTXv+m/C/m7nvcBCqPb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aX3JbEHkQynf9kFl9CdYnn2lD5CmBvD3T7cIv2ROIqahlpdlTrryt6dQZvNB6sz0FzAycpPMSmJsKE+L5lKYQ==" saltValue="gHKm2Uj6Nfa1dLuzMaCy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AGUILAR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0.40140845070422537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0.28383863751854371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b0jgr2QccEuEoVNY1yvXJ1nRrDl0bbAduSi9aQBfUb7kuMuF6QPLXygJSc15Is1FShFBczUYDgjnfp588W3Mw==" saltValue="EC2EbhmtRQ//FjjC4cDb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ZfOFK8dakJjVY20iFtAieUYaNMoB+CLbuxZISsOFCWIAbT4dPUs29cT8r/j31nPGtWfE4Y19QJSvH32vNP8Hw==" saltValue="JTOBP4xJ7gocqBe5G1jT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AGUILAR DE LA FRONTERA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2</v>
      </c>
      <c r="F10" s="452">
        <f>IF(ISNUMBER(E10/B10),E10/B10," - ")</f>
        <v>2</v>
      </c>
      <c r="G10" s="451">
        <f>IF(ISNUMBER(Datos!K10),Datos!K10," - ")</f>
        <v>0</v>
      </c>
      <c r="H10" s="452">
        <f>IF(ISNUMBER(G10/B10),G10/B10," - ")</f>
        <v>0</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262</v>
      </c>
      <c r="D12" s="452">
        <f>IF(ISNUMBER(C12/Datos!BH12),C12/Datos!BH12," - ")</f>
        <v>262</v>
      </c>
      <c r="E12" s="451">
        <f>IF(ISNUMBER(IF(J_V="SI",Datos!J12,Datos!J12+Datos!Z12)),IF(J_V="SI",Datos!J12,Datos!J12+Datos!Z12)," - ")</f>
        <v>135</v>
      </c>
      <c r="F12" s="452">
        <f>IF(ISNUMBER(E12/B12),E12/B12," - ")</f>
        <v>135</v>
      </c>
      <c r="G12" s="451">
        <f>IF(ISNUMBER(IF(J_V="SI",Datos!K12,Datos!K12+Datos!AA12)),IF(J_V="SI",Datos!K12,Datos!K12+Datos!AA12)," - ")</f>
        <v>142</v>
      </c>
      <c r="H12" s="452">
        <f>IF(ISNUMBER(G12/B12),G12/B12," - ")</f>
        <v>142</v>
      </c>
      <c r="I12" s="451">
        <f>IF(ISNUMBER(IF(J_V="SI",Datos!L12,Datos!L12+Datos!AB12)),IF(J_V="SI",Datos!L12,Datos!L12+Datos!AB12)," - ")</f>
        <v>255</v>
      </c>
      <c r="J12" s="452">
        <f>IF(ISNUMBER(I12/B12),I12/B12," - ")</f>
        <v>255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272</v>
      </c>
      <c r="D14" s="1147" t="str">
        <f>IF(ISNUMBER(C14/Datos!BI14),C14/Datos!BI14," - ")</f>
        <v xml:space="preserve"> - </v>
      </c>
      <c r="E14" s="1146">
        <f>SUBTOTAL(9,E8:E13)</f>
        <v>137</v>
      </c>
      <c r="F14" s="1147">
        <f>IF(ISNUMBER(E14/B14),E14/B14," - ")</f>
        <v>137</v>
      </c>
      <c r="G14" s="1146">
        <f>SUBTOTAL(9,G8:G13)</f>
        <v>142</v>
      </c>
      <c r="H14" s="1147">
        <f>IF(ISNUMBER(G14/B14),G14/B14," - ")</f>
        <v>142</v>
      </c>
      <c r="I14" s="1146">
        <f>SUBTOTAL(9,I8:I13)</f>
        <v>267</v>
      </c>
      <c r="J14" s="1147">
        <f>IF(ISNUMBER(I14/B14),I14/B14," - ")</f>
        <v>267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153</v>
      </c>
      <c r="D17" s="452">
        <f>IF(ISNUMBER(C17/Datos!BH17),C17/Datos!BH17," - ")</f>
        <v>153</v>
      </c>
      <c r="E17" s="451">
        <f>IF(ISNUMBER(IF(D_I="SI",Datos!J17,Datos!J17+Datos!AD17)),IF(D_I="SI",Datos!J17,Datos!J17+Datos!AD17)," - ")</f>
        <v>87</v>
      </c>
      <c r="F17" s="452">
        <f>IF(ISNUMBER(E17/B17),E17/B17," - ")</f>
        <v>87</v>
      </c>
      <c r="G17" s="451">
        <f>IF(ISNUMBER(IF(D_I="SI",Datos!K17,Datos!K17+Datos!AE17)),IF(D_I="SI",Datos!K17,Datos!K17+Datos!AE17)," - ")</f>
        <v>125</v>
      </c>
      <c r="H17" s="452">
        <f>IF(ISNUMBER(G17/B17),G17/B17," - ")</f>
        <v>125</v>
      </c>
      <c r="I17" s="451">
        <f>IF(ISNUMBER(IF(D_I="SI",Datos!L17,Datos!L17+Datos!AF17)),IF(D_I="SI",Datos!L17,Datos!L17+Datos!AF17)," - ")</f>
        <v>115</v>
      </c>
      <c r="J17" s="452">
        <f>IF(ISNUMBER(I17/B17),I17/B17," - ")</f>
        <v>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17</v>
      </c>
      <c r="F18" s="452">
        <f>IF(ISNUMBER(E18/B18),E18/B18," - ")</f>
        <v>17</v>
      </c>
      <c r="G18" s="451">
        <f>IF(ISNUMBER(IF(D_I="SI",Datos!K18,Datos!K18+Datos!AE18)),IF(D_I="SI",Datos!K18,Datos!K18+Datos!AE18)," - ")</f>
        <v>14</v>
      </c>
      <c r="H18" s="452">
        <f>IF(ISNUMBER(G18/B18),G18/B18," - ")</f>
        <v>14</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178</v>
      </c>
      <c r="D23" s="1147" t="str">
        <f>IF(ISNUMBER(C23/Datos!BI23),C23/Datos!BI23," - ")</f>
        <v xml:space="preserve"> - </v>
      </c>
      <c r="E23" s="1146">
        <f>SUBTOTAL(9,E15:E22)</f>
        <v>104</v>
      </c>
      <c r="F23" s="1147">
        <f>IF(ISNUMBER(E23/B23),E23/B23," - ")</f>
        <v>104</v>
      </c>
      <c r="G23" s="1146">
        <f>SUBTOTAL(9,G15:G22)</f>
        <v>139</v>
      </c>
      <c r="H23" s="1147">
        <f>IF(ISNUMBER(G23/B23),G23/B23," - ")</f>
        <v>139</v>
      </c>
      <c r="I23" s="1146">
        <f>SUBTOTAL(9,I15:I22)</f>
        <v>143</v>
      </c>
      <c r="J23" s="1147">
        <f>IF(ISNUMBER(I23/B23),I23/B23," - ")</f>
        <v>143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450</v>
      </c>
      <c r="D31" s="1085" t="str">
        <f>IF(ISNUMBER(C31/Datos!BI31),C31/Datos!BI31," - ")</f>
        <v xml:space="preserve"> - </v>
      </c>
      <c r="E31" s="1084">
        <f>SUBTOTAL(9,E9:E30)</f>
        <v>241</v>
      </c>
      <c r="F31" s="1085">
        <f>IF(ISNUMBER(E31/B31),E31/B31," - ")</f>
        <v>241</v>
      </c>
      <c r="G31" s="1084">
        <f>SUBTOTAL(9,G9:G30)</f>
        <v>281</v>
      </c>
      <c r="H31" s="1085">
        <f>IF(ISNUMBER(G31/B31),G31/B31," - ")</f>
        <v>281</v>
      </c>
      <c r="I31" s="1084">
        <f>SUBTOTAL(9,I9:I30)</f>
        <v>410</v>
      </c>
      <c r="J31" s="1085">
        <f>IF(ISNUMBER(I31/B31),I31/B31," - ")</f>
        <v>410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LPgbrGJfWoiYdxJAR49dHlHKNNK+L2f9u8jivrPgHmNBv6ICnC9lDRjfXOH8VoJtAJ6sugD/Q5bx6YimbI41A==" saltValue="EwI2xYsv2qnsIQrUYigy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AGUILAR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140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3.591549295774648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-0.19649805447470817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143</v>
      </c>
      <c r="AE14" s="1257">
        <f t="shared" si="1"/>
        <v>0</v>
      </c>
      <c r="AF14" s="1257">
        <f t="shared" si="1"/>
        <v>12</v>
      </c>
      <c r="AG14" s="1257">
        <f t="shared" si="1"/>
        <v>0</v>
      </c>
      <c r="AH14" s="1257">
        <f t="shared" si="1"/>
        <v>413</v>
      </c>
      <c r="AI14" s="1257">
        <f t="shared" si="1"/>
        <v>0</v>
      </c>
      <c r="AJ14" s="1257">
        <f t="shared" si="1"/>
        <v>0</v>
      </c>
      <c r="AK14" s="1257">
        <f t="shared" si="1"/>
        <v>0</v>
      </c>
      <c r="AL14" s="1257">
        <f t="shared" si="1"/>
        <v>57</v>
      </c>
      <c r="AM14" s="1257">
        <f t="shared" si="1"/>
        <v>140</v>
      </c>
      <c r="AN14" s="1257">
        <f t="shared" si="1"/>
        <v>0</v>
      </c>
      <c r="AO14" s="1257">
        <f t="shared" si="1"/>
        <v>0</v>
      </c>
      <c r="AP14" s="1262">
        <f>IF(ISNUMBER(((Datos!L14/Datos!K14)*11)/factor_trimestre),((Datos!L14/Datos!K14)*11)/factor_trimestre," - ")</f>
        <v>3.7727272727272729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-0.19649805447470817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2.0575539568345325</v>
      </c>
      <c r="AQ23" s="1262">
        <f>IF(ISNUMBER(((Datos!M23/Datos!L23)*11)/factor_trimestre),((Datos!M23/Datos!L23)*11)/factor_trimestre," - ")</f>
        <v>1.1048951048951048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1.08</v>
      </c>
      <c r="AW23" s="1265">
        <f>IF(ISNUMBER((Datos!Q23-Datos!R23)/(Datos!S23-Datos!Q23+Datos!R23)),(Datos!Q23-Datos!R23)/(Datos!S23-Datos!Q23+Datos!R23)," - ")</f>
        <v>-0.17627118644067796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143</v>
      </c>
      <c r="AE31" s="1284">
        <f t="shared" si="9"/>
        <v>0</v>
      </c>
      <c r="AF31" s="1285">
        <f t="shared" si="9"/>
        <v>12</v>
      </c>
      <c r="AG31" s="1285">
        <f t="shared" si="9"/>
        <v>0</v>
      </c>
      <c r="AH31" s="1285">
        <f t="shared" si="9"/>
        <v>413</v>
      </c>
      <c r="AI31" s="1285">
        <f t="shared" si="9"/>
        <v>0</v>
      </c>
      <c r="AJ31" s="1286">
        <f t="shared" si="9"/>
        <v>0</v>
      </c>
      <c r="AK31" s="1286">
        <f t="shared" si="9"/>
        <v>0</v>
      </c>
      <c r="AL31" s="1278">
        <f t="shared" si="9"/>
        <v>57</v>
      </c>
      <c r="AM31" s="1278">
        <f t="shared" si="9"/>
        <v>140</v>
      </c>
      <c r="AN31" s="1278">
        <f t="shared" si="9"/>
        <v>0</v>
      </c>
      <c r="AO31" s="1278">
        <f t="shared" si="9"/>
        <v>0</v>
      </c>
      <c r="AP31" s="1278">
        <f>IF(ISNUMBER(((Datos!L31/Datos!K31)*11)/factor_trimestre),((Datos!L31/Datos!K31)*11)/factor_trimestre," - ")</f>
        <v>2.8929889298892988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-0.13729128014842301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29.434673431176368</v>
      </c>
      <c r="AM33" s="1006"/>
      <c r="AN33" s="1006">
        <f>IF(ISNUMBER(STDEV(AN8:AN30)),STDEV(AN8:AN30),"-")</f>
        <v>0</v>
      </c>
      <c r="AO33" s="1012">
        <f>IF(ISNUMBER(STDEV(AO8:AO30)),STDEV(AO8:AO30),"-")</f>
        <v>0</v>
      </c>
      <c r="AP33" s="1065">
        <f>IF(ISNUMBER(STDEV(AP8:AP30)),STDEV(AP8:AP30),"-")</f>
        <v>0.94231865300201034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VgMg0qEaAd3x13+LVGVcPpnwzxl+5lDnhNaDBp8NYAWV3OpzboCUb1WiMTkBzDmnyMmqlOwdxltgbOMGlYNMg==" saltValue="NlH5sfNsijs5R34JyyzT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AGUILAR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Esg8WzroYLU4nADtKYZ2+uTvedHuW3j1HtXpUSex7jXRdZv06rO5MWbF/rHpTi3Gi54vgUn2yFCuYtAvJGQ1Q==" saltValue="PyZavCyXlU7R5OUIVcXi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AGUILAR DE LA FRONTERA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57</v>
      </c>
      <c r="E12" s="452">
        <f t="shared" si="0"/>
        <v>57</v>
      </c>
      <c r="F12" s="451">
        <f>IF(ISNUMBER(Datos!N12),Datos!N12," - ")</f>
        <v>140</v>
      </c>
      <c r="G12" s="452">
        <f t="shared" si="1"/>
        <v>140</v>
      </c>
      <c r="H12" s="451">
        <f>IF(ISNUMBER(Datos!O12),Datos!O12," - ")</f>
        <v>10</v>
      </c>
      <c r="I12" s="452">
        <f t="shared" si="2"/>
        <v>10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57</v>
      </c>
      <c r="E14" s="1147">
        <f t="shared" si="0"/>
        <v>28.5</v>
      </c>
      <c r="F14" s="1146">
        <f>SUBTOTAL(9,F9:F13)</f>
        <v>140</v>
      </c>
      <c r="G14" s="1147">
        <f t="shared" si="1"/>
        <v>70</v>
      </c>
      <c r="H14" s="1146">
        <f>SUBTOTAL(9,H9:H13)</f>
        <v>10</v>
      </c>
      <c r="I14" s="1147">
        <f>IF(ISNUMBER(H14/B14),H14/B14," - ")</f>
        <v>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75</v>
      </c>
      <c r="E17" s="452">
        <f t="shared" si="3"/>
        <v>75</v>
      </c>
      <c r="F17" s="451">
        <f>IF(ISNUMBER(Datos!N17),Datos!N17," - ")</f>
        <v>40</v>
      </c>
      <c r="G17" s="452">
        <f t="shared" si="4"/>
        <v>40</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79</v>
      </c>
      <c r="E23" s="1147">
        <f t="shared" si="3"/>
        <v>39.5</v>
      </c>
      <c r="F23" s="1146">
        <f>SUBTOTAL(9,F16:F22)</f>
        <v>56</v>
      </c>
      <c r="G23" s="1147">
        <f t="shared" si="4"/>
        <v>28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136</v>
      </c>
      <c r="E31" s="1085">
        <f>IF(ISNUMBER(D31/B31),D31/B31," - ")</f>
        <v>136</v>
      </c>
      <c r="F31" s="1084">
        <f>SUBTOTAL(9,F8:F30)</f>
        <v>196</v>
      </c>
      <c r="G31" s="1085">
        <f>IF(ISNUMBER(F31/B31),F31/B31," - ")</f>
        <v>196</v>
      </c>
      <c r="H31" s="1084">
        <f>SUBTOTAL(9,H8:H30)</f>
        <v>10</v>
      </c>
      <c r="I31" s="1085">
        <f>IF(ISNUMBER(H31/B31),H31/B31," - ")</f>
        <v>10</v>
      </c>
    </row>
    <row r="34" spans="1:1">
      <c r="A34" s="439" t="str">
        <f>Criterios!A4</f>
        <v>Fecha Informe: 06 may. 2023</v>
      </c>
    </row>
    <row r="39" spans="1:1">
      <c r="A39" s="462"/>
    </row>
  </sheetData>
  <sheetProtection algorithmName="SHA-512" hashValue="n7BvvYA7+ODFii/hjZO/C6N6fOeE+eZEmXiX14ymPRNo/9LBWbGHddzNbLoL3SnjZ6BrB7HQMZkfhKMpyT/TIQ==" saltValue="R36i+PIllI6Elkl0B62O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AGUILAR DE LA FRONTERA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143</v>
      </c>
      <c r="D12" s="456">
        <f>IF(ISNUMBER(Datos!R12),Datos!R12," - ")</f>
        <v>413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143</v>
      </c>
      <c r="D14" s="1148">
        <f>SUBTOTAL(9,D9:D13)</f>
        <v>413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0</v>
      </c>
      <c r="D17" s="456">
        <f>IF(ISNUMBER(Datos!R17),Datos!R17," - ")</f>
        <v>52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0</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69</v>
      </c>
      <c r="C31" s="1089">
        <f>SUBTOTAL(9,C8:C30)</f>
        <v>143</v>
      </c>
      <c r="D31" s="1090">
        <f>SUBTOTAL(9,D8:D30)</f>
        <v>465</v>
      </c>
    </row>
    <row r="32" spans="1:4" ht="7.5" customHeight="1"/>
    <row r="33" spans="1:1" ht="6" customHeight="1"/>
    <row r="34" spans="1:1">
      <c r="A34" s="439" t="str">
        <f>Criterios!A4</f>
        <v>Fecha Informe: 06 may. 2023</v>
      </c>
    </row>
    <row r="39" spans="1:1">
      <c r="A39" s="462"/>
    </row>
  </sheetData>
  <sheetProtection algorithmName="SHA-512" hashValue="+gtTTt0x+68H7+fuz4OuPxyH8vuKOP1WAXUK0Pj9eFIfbP1dsOJzpJsMQ1jISYAlV/ON1tAHBgZQZ3XRR4gf+g==" saltValue="USomn4iZ6exYbBuqVL+u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AGUILAR DE LA FRONTERA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t="str">
        <f>IF(ISNUMBER((Datos!K10-Datos!U10)/Datos!U10),(Datos!K10-Datos!U10)/Datos!U10," - ")</f>
        <v xml:space="preserve"> - </v>
      </c>
      <c r="E10" s="515">
        <f>IF(ISNUMBER((Datos!L10-Datos!V10)/Datos!V10),(Datos!L10-Datos!V10)/Datos!V10," - ")</f>
        <v>9.0909090909090912E-2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-0.26610644257703081</v>
      </c>
      <c r="C12" s="515">
        <f>IF(ISNUMBER(
   IF(J_V="SI",(Datos!J12-Datos!T12)/Datos!T12,(Datos!J12+Datos!Z12-(Datos!T12+Datos!AH12))/(Datos!T12+Datos!AH12))
     ),IF(J_V="SI",(Datos!J12-Datos!T12)/Datos!T12,(Datos!J12+Datos!Z12-(Datos!T12+Datos!AH12))/(Datos!T12+Datos!AH12))," - ")</f>
        <v>0.17391304347826086</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-0.22727272727272727</v>
      </c>
      <c r="F12" s="515">
        <f>IF(ISNUMBER((Datos!M12-Datos!W12)/Datos!W12),(Datos!M12-Datos!W12)/Datos!W12," - ")</f>
        <v>0</v>
      </c>
      <c r="G12" s="516">
        <f>IF(ISNUMBER((Datos!N12-Datos!X12)/Datos!X12),(Datos!N12-Datos!X12)/Datos!X12," - ")</f>
        <v>0</v>
      </c>
      <c r="H12" s="514">
        <f>IF(ISNUMBER(((NºAsuntos!G12/NºAsuntos!E12)-Datos!BD12)/Datos!BD12),((NºAsuntos!G12/NºAsuntos!E12)-Datos!BD12)/Datos!BD12," - ")</f>
        <v>-0.14814814814814817</v>
      </c>
      <c r="I12" s="515">
        <f>IF(ISNUMBER(((NºAsuntos!I12/NºAsuntos!G12)-Datos!BE12)/Datos!BE12),((NºAsuntos!I12/NºAsuntos!G12)-Datos!BE12)/Datos!BE12," - ")</f>
        <v>-0.22727272727272727</v>
      </c>
      <c r="J12" s="521">
        <f>IF(ISNUMBER((('Resol  Asuntos'!D12/NºAsuntos!G12)-Datos!BF12)/Datos!BF12),(('Resol  Asuntos'!D12/NºAsuntos!G12)-Datos!BF12)/Datos!BF12," - ")</f>
        <v>-0.59285714285714286</v>
      </c>
      <c r="K12" s="522">
        <f>IF(ISNUMBER((((NºAsuntos!C12+NºAsuntos!E12)/NºAsuntos!G12)-Datos!BG12)/Datos!BG12),(((NºAsuntos!C12+NºAsuntos!E12)/NºAsuntos!G12)-Datos!BG12)/Datos!BG12," - ")</f>
        <v>-0.15889830508474576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-0.25885558583106266</v>
      </c>
      <c r="C14" s="1152">
        <f>IF(ISNUMBER(
   IF(J_V="SI",(Datos!J14-Datos!T14)/Datos!T14,(Datos!J14+Datos!Z14-(Datos!T14+Datos!AH14))/(Datos!T14+Datos!AH14))
     ),IF(J_V="SI",(Datos!J14-Datos!T14)/Datos!T14,(Datos!J14+Datos!Z14-(Datos!T14+Datos!AH14))/(Datos!T14+Datos!AH14))," - ")</f>
        <v>0.18103448275862069</v>
      </c>
      <c r="D14" s="1152">
        <f>IF(ISNUMBER(
   IF(J_V="SI",(Datos!K14-Datos!U14)/Datos!U14,(Datos!K14+Datos!AA14-(Datos!U14+Datos!AI14))/(Datos!U14+Datos!AI14))
     ),IF(J_V="SI",(Datos!K14-Datos!U14)/Datos!U14,(Datos!K14+Datos!AA14-(Datos!U14+Datos!AI14))/(Datos!U14+Datos!AI14))," - ")</f>
        <v>0</v>
      </c>
      <c r="E14" s="1152">
        <f>IF(ISNUMBER(
   IF(J_V="SI",(Datos!L14-Datos!V14)/Datos!V14,(Datos!L14+Datos!AB14-(Datos!V14+Datos!AJ14))/(Datos!V14+Datos!AJ14))
     ),IF(J_V="SI",(Datos!L14-Datos!V14)/Datos!V14,(Datos!L14+Datos!AB14-(Datos!V14+Datos!AJ14))/(Datos!V14+Datos!AJ14))," - ")</f>
        <v>-0.21700879765395895</v>
      </c>
      <c r="F14" s="1153">
        <f>IF(ISNUMBER((Datos!M14-Datos!W14)/Datos!W14),(Datos!M14-Datos!W14)/Datos!W14," - ")</f>
        <v>0</v>
      </c>
      <c r="G14" s="1154">
        <f>IF(ISNUMBER((Datos!N14-Datos!X14)/Datos!X14),(Datos!N14-Datos!X14)/Datos!X14," - ")</f>
        <v>0</v>
      </c>
      <c r="H14" s="1154">
        <f>IF(ISNUMBER(((NºAsuntos!G14/NºAsuntos!E14)-Datos!BD14)/Datos!BD14),((NºAsuntos!G14/NºAsuntos!E14)-Datos!BD14)/Datos!BD14," - ")</f>
        <v>-0.15328467153284658</v>
      </c>
      <c r="I14" s="1154">
        <f>IF(ISNUMBER(((NºAsuntos!I14/NºAsuntos!G14)-Datos!BE14)/Datos!BE14),((NºAsuntos!I14/NºAsuntos!G14)-Datos!BE14)/Datos!BE14," - ")</f>
        <v>-0.217008797653959</v>
      </c>
      <c r="J14" s="1154">
        <f>IF(ISNUMBER((('Resol  Asuntos'!D14/NºAsuntos!G14)-Datos!BF14)/Datos!BF14),(('Resol  Asuntos'!D14/NºAsuntos!G14)-Datos!BF14)/Datos!BF14," - ")</f>
        <v>-0.59285714285714286</v>
      </c>
      <c r="K14" s="1154">
        <f>IF(ISNUMBER((((NºAsuntos!C14+NºAsuntos!E14)/NºAsuntos!G14)-Datos!BG14)/Datos!BG14),(((NºAsuntos!C14+NºAsuntos!E14)/NºAsuntos!G14)-Datos!BG14)/Datos!BG14," - ")</f>
        <v>-0.15320910973084892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-0.27488151658767773</v>
      </c>
      <c r="C17" s="515">
        <f>IF(ISNUMBER(
   IF(D_I="SI",(Datos!J17-Datos!T17)/Datos!T17,(Datos!J17+Datos!AD17-(Datos!T17+Datos!AL17))/(Datos!T17+Datos!AL17))
     ),IF(D_I="SI",(Datos!J17-Datos!T17)/Datos!T17,(Datos!J17+Datos!AD17-(Datos!T17+Datos!AL17))/(Datos!T17+Datos!AL17))," - ")</f>
        <v>0.24285714285714285</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-0.26282051282051283</v>
      </c>
      <c r="F17" s="515">
        <f>IF(ISNUMBER((Datos!M17-Datos!W17)/Datos!W17),(Datos!M17-Datos!W17)/Datos!W17," - ")</f>
        <v>0</v>
      </c>
      <c r="G17" s="516">
        <f>IF(ISNUMBER((Datos!N17-Datos!X17)/Datos!X17),(Datos!N17-Datos!X17)/Datos!X17," - ")</f>
        <v>0</v>
      </c>
      <c r="H17" s="514">
        <f>IF(ISNUMBER(((NºAsuntos!G17/NºAsuntos!E17)-Datos!BD17)/Datos!BD17),((NºAsuntos!G17/NºAsuntos!E17)-Datos!BD17)/Datos!BD17," - ")</f>
        <v>-0.19540229885057481</v>
      </c>
      <c r="I17" s="515">
        <f>IF(ISNUMBER(((NºAsuntos!I17/NºAsuntos!G17)-Datos!BE17)/Datos!BE17),((NºAsuntos!I17/NºAsuntos!G17)-Datos!BE17)/Datos!BE17," - ")</f>
        <v>-0.26282051282051277</v>
      </c>
      <c r="J17" s="521">
        <f>IF(ISNUMBER((('Resol  Asuntos'!D17/NºAsuntos!G17)-Datos!BF17)/Datos!BF17),(('Resol  Asuntos'!D17/NºAsuntos!G17)-Datos!BF17)/Datos!BF17," - ")</f>
        <v>0</v>
      </c>
      <c r="K17" s="522">
        <f>IF(ISNUMBER((((NºAsuntos!C17+NºAsuntos!E17)/NºAsuntos!G17)-Datos!BG17)/Datos!BG17),(((NºAsuntos!C17+NºAsuntos!E17)/NºAsuntos!G17)-Datos!BG17)/Datos!BG17," - ")</f>
        <v>-0.14590747330960865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-0.21875</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-0.2</v>
      </c>
      <c r="F18" s="515">
        <f>IF(ISNUMBER((Datos!M18-Datos!W18)/Datos!W18),(Datos!M18-Datos!W18)/Datos!W18," - ")</f>
        <v>0</v>
      </c>
      <c r="G18" s="516">
        <f>IF(ISNUMBER((Datos!N18-Datos!X18)/Datos!X18),(Datos!N18-Datos!X18)/Datos!X18," - ")</f>
        <v>0</v>
      </c>
      <c r="H18" s="514">
        <f>IF(ISNUMBER(((NºAsuntos!G18/NºAsuntos!E18)-Datos!BD18)/Datos!BD18),((NºAsuntos!G18/NºAsuntos!E18)-Datos!BD18)/Datos!BD18," - ")</f>
        <v>0</v>
      </c>
      <c r="I18" s="515">
        <f>IF(ISNUMBER(((NºAsuntos!I18/NºAsuntos!G18)-Datos!BE18)/Datos!BE18),((NºAsuntos!I18/NºAsuntos!G18)-Datos!BE18)/Datos!BE18," - ")</f>
        <v>-0.2</v>
      </c>
      <c r="J18" s="521">
        <f>IF(ISNUMBER((('Resol  Asuntos'!D18/NºAsuntos!G18)-Datos!BF18)/Datos!BF18),(('Resol  Asuntos'!D18/NºAsuntos!G18)-Datos!BF18)/Datos!BF18," - ")</f>
        <v>0</v>
      </c>
      <c r="K18" s="522">
        <f>IF(ISNUMBER((((NºAsuntos!C18+NºAsuntos!E18)/NºAsuntos!G18)-Datos!BG18)/Datos!BG18),(((NºAsuntos!C18+NºAsuntos!E18)/NºAsuntos!G18)-Datos!BG18)/Datos!BG18," - ")</f>
        <v>-0.14285714285714285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-0.26748971193415638</v>
      </c>
      <c r="C23" s="1152">
        <f>IF(ISNUMBER(
   IF(Criterios!B14="SI",(Datos!J23-Datos!T23)/Datos!T23,(Datos!J23+Datos!AD23-(Datos!T23+Datos!AL23))/(Datos!T23+Datos!AL23))
     ),IF(Criterios!B14="SI",(Datos!J23-Datos!T23)/Datos!T23,(Datos!J23+Datos!AD23-(Datos!T23+Datos!AL23))/(Datos!T23+Datos!AL23))," - ")</f>
        <v>0.19540229885057472</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-0.2513089005235602</v>
      </c>
      <c r="F23" s="1153">
        <f>IF(ISNUMBER((Datos!M23-Datos!W23)/Datos!W23),(Datos!M23-Datos!W23)/Datos!W23," - ")</f>
        <v>0</v>
      </c>
      <c r="G23" s="1154">
        <f>IF(ISNUMBER((Datos!N23-Datos!X23)/Datos!X23),(Datos!N23-Datos!X23)/Datos!X23," - ")</f>
        <v>0</v>
      </c>
      <c r="H23" s="1154">
        <f>IF(ISNUMBER(((NºAsuntos!G23/NºAsuntos!E23)-Datos!BD23)/Datos!BD23),((NºAsuntos!G23/NºAsuntos!E23)-Datos!BD23)/Datos!BD23," - ")</f>
        <v>-0.16346153846153849</v>
      </c>
      <c r="I23" s="1154">
        <f>IF(ISNUMBER(((NºAsuntos!I23/NºAsuntos!G23)-Datos!BE23)/Datos!BE23),((NºAsuntos!I23/NºAsuntos!G23)-Datos!BE23)/Datos!BE23," - ")</f>
        <v>-0.25130890052356014</v>
      </c>
      <c r="J23" s="1154">
        <f>IF(ISNUMBER((('Resol  Asuntos'!D23/NºAsuntos!G23)-Datos!BF23)/Datos!BF23),(('Resol  Asuntos'!D23/NºAsuntos!G23)-Datos!BF23)/Datos!BF23," - ")</f>
        <v>0</v>
      </c>
      <c r="K23" s="1154">
        <f>IF(ISNUMBER((((NºAsuntos!C23+NºAsuntos!E23)/NºAsuntos!G23)-Datos!BG23)/Datos!BG23),(((NºAsuntos!C23+NºAsuntos!E23)/NºAsuntos!G23)-Datos!BG23)/Datos!BG23," - ")</f>
        <v>-0.1454545454545455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-0.26229508196721313</v>
      </c>
      <c r="C31" s="1092">
        <f>IF(ISNUMBER(
   IF(J_V="SI",(Datos!J31-Datos!T31)/Datos!T31,(Datos!J31+Datos!Z31-(Datos!T31+Datos!AH31))/(Datos!T31+Datos!AH31))
     ),IF(J_V="SI",(Datos!J31-Datos!T31)/Datos!T31,(Datos!J31+Datos!Z31-(Datos!T31+Datos!AH31))/(Datos!T31+Datos!AH31))," - ")</f>
        <v>0.18719211822660098</v>
      </c>
      <c r="D31" s="1092">
        <f>IF(ISNUMBER(
   IF(J_V="SI",(Datos!K31-Datos!U31)/Datos!U31,(Datos!K31+Datos!AA31-(Datos!U31+Datos!AI31))/(Datos!U31+Datos!AI31))
     ),IF(J_V="SI",(Datos!K31-Datos!U31)/Datos!U31,(Datos!K31+Datos!AA31-(Datos!U31+Datos!AI31))/(Datos!U31+Datos!AI31))," - ")</f>
        <v>0</v>
      </c>
      <c r="E31" s="1092">
        <f>IF(ISNUMBER(
   IF(J_V="SI",(Datos!L31-Datos!V31)/Datos!V31,(Datos!L31+Datos!AB31-(Datos!V31+Datos!AJ31))/(Datos!V31+Datos!AJ31))
     ),IF(J_V="SI",(Datos!L31-Datos!V31)/Datos!V31,(Datos!L31+Datos!AB31-(Datos!V31+Datos!AJ31))/(Datos!V31+Datos!AJ31))," - ")</f>
        <v>-0.22932330827067668</v>
      </c>
      <c r="F31" s="1093">
        <f>IF(ISNUMBER((Datos!M31-Datos!W31)/Datos!W31),(Datos!M31-Datos!W31)/Datos!W31," - ")</f>
        <v>0</v>
      </c>
      <c r="G31" s="1094">
        <f>IF(ISNUMBER((Datos!N31-Datos!X31)/Datos!X31),(Datos!N31-Datos!X31)/Datos!X31," - ")</f>
        <v>0</v>
      </c>
      <c r="H31" s="1095">
        <f>IF(ISNUMBER((Tasas!B31-Datos!BD31)/Datos!BD31),(Tasas!B31-Datos!BD31)/Datos!BD31," - ")</f>
        <v>-0.15767634854771778</v>
      </c>
      <c r="I31" s="1096">
        <f>IF(ISNUMBER((Tasas!C31-Datos!BE31)/Datos!BE31),(Tasas!C31-Datos!BE31)/Datos!BE31," - ")</f>
        <v>-0.22932330827067668</v>
      </c>
      <c r="J31" s="1097">
        <f>IF(ISNUMBER((Tasas!D31-Datos!BF31)/Datos!BF31),(Tasas!D31-Datos!BF31)/Datos!BF31," - ")</f>
        <v>-0.37899543378995437</v>
      </c>
      <c r="K31" s="1097">
        <f>IF(ISNUMBER((Tasas!E31-Datos!BG31)/Datos!BG31),(Tasas!E31-Datos!BG31)/Datos!BG31," - ")</f>
        <v>-0.1500615006150062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W4NHPiespzdeT6/61z/zB2OvFdbuogRChNHF/zL1Ci+5xAcbutXWL1AIBnFWUk8ZNdchhb87AXEQhKzIpUzXA==" saltValue="H3epj7mCGjGBz3eXifpX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AGUILAR DE LA FRONTERA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1.0518518518518518</v>
      </c>
      <c r="C12" s="498">
        <f>IF(ISNUMBER(NºAsuntos!I12/NºAsuntos!G12),NºAsuntos!I12/NºAsuntos!G12," - ")</f>
        <v>1.795774647887324</v>
      </c>
      <c r="D12" s="499">
        <f>IF(ISNUMBER('Resol  Asuntos'!D12/NºAsuntos!G12),'Resol  Asuntos'!D12/NºAsuntos!G12," - ")</f>
        <v>0.40140845070422537</v>
      </c>
      <c r="E12" s="500">
        <f>IF(ISNUMBER((NºAsuntos!C12+NºAsuntos!E12)/NºAsuntos!G12),(NºAsuntos!C12+NºAsuntos!E12)/NºAsuntos!G12," - ")</f>
        <v>2.795774647887324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1.0364963503649636</v>
      </c>
      <c r="C14" s="1156">
        <f>IF(ISNUMBER(NºAsuntos!I14/NºAsuntos!G14),NºAsuntos!I14/NºAsuntos!G14," - ")</f>
        <v>1.880281690140845</v>
      </c>
      <c r="D14" s="1157">
        <f>IF(ISNUMBER('Resol  Asuntos'!D14/NºAsuntos!G14),'Resol  Asuntos'!D14/NºAsuntos!G14," - ")</f>
        <v>0.40140845070422537</v>
      </c>
      <c r="E14" s="1158">
        <f>IF(ISNUMBER((NºAsuntos!C14+NºAsuntos!E14)/NºAsuntos!G14),(NºAsuntos!C14+NºAsuntos!E14)/NºAsuntos!G14," - ")</f>
        <v>2.880281690140845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1.4367816091954022</v>
      </c>
      <c r="C17" s="498">
        <f>IF(ISNUMBER(NºAsuntos!I17/NºAsuntos!G17),NºAsuntos!I17/NºAsuntos!G17," - ")</f>
        <v>0.92</v>
      </c>
      <c r="D17" s="499">
        <f>IF(ISNUMBER('Resol  Asuntos'!D17/NºAsuntos!G17),'Resol  Asuntos'!D17/NºAsuntos!G17," - ")</f>
        <v>0.6</v>
      </c>
      <c r="E17" s="500">
        <f>IF(ISNUMBER((NºAsuntos!C17+NºAsuntos!E17)/NºAsuntos!G17),(NºAsuntos!C17+NºAsuntos!E17)/NºAsuntos!G17," - ")</f>
        <v>1.92</v>
      </c>
      <c r="G17" s="523"/>
    </row>
    <row r="18" spans="1:7">
      <c r="A18" s="450" t="str">
        <f>Datos!A18</f>
        <v>Jdos. Violencia contra la mujer</v>
      </c>
      <c r="B18" s="497">
        <f>IF(ISNUMBER(NºAsuntos!G18/NºAsuntos!E18),NºAsuntos!G18/NºAsuntos!E18," - ")</f>
        <v>0.82352941176470584</v>
      </c>
      <c r="C18" s="498">
        <f>IF(ISNUMBER(NºAsuntos!I18/NºAsuntos!G18),NºAsuntos!I18/NºAsuntos!G18," - ")</f>
        <v>2</v>
      </c>
      <c r="D18" s="499">
        <f>IF(ISNUMBER('Resol  Asuntos'!D18/NºAsuntos!G18),'Resol  Asuntos'!D18/NºAsuntos!G18," - ")</f>
        <v>0.2857142857142857</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1.3365384615384615</v>
      </c>
      <c r="C23" s="1156">
        <f>IF(ISNUMBER(NºAsuntos!I23/NºAsuntos!G23),NºAsuntos!I23/NºAsuntos!G23," - ")</f>
        <v>1.0287769784172662</v>
      </c>
      <c r="D23" s="1159">
        <f>IF(ISNUMBER('Resol  Asuntos'!D23/NºAsuntos!G23),'Resol  Asuntos'!D23/NºAsuntos!G23," - ")</f>
        <v>0.56834532374100721</v>
      </c>
      <c r="E23" s="1158">
        <f>IF(ISNUMBER((NºAsuntos!C23+NºAsuntos!E23)/NºAsuntos!G23),(NºAsuntos!C23+NºAsuntos!E23)/NºAsuntos!G23," - ")</f>
        <v>2.028776978417266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1.1659751037344399</v>
      </c>
      <c r="C31" s="1099">
        <f>IF(ISNUMBER(NºAsuntos!I31/NºAsuntos!G31),NºAsuntos!I31/NºAsuntos!G31," - ")</f>
        <v>1.4590747330960854</v>
      </c>
      <c r="D31" s="1100">
        <f>IF(ISNUMBER('Resol  Asuntos'!D31/NºAsuntos!G31),'Resol  Asuntos'!D31/NºAsuntos!G31," - ")</f>
        <v>0.48398576512455516</v>
      </c>
      <c r="E31" s="1101">
        <f>IF(ISNUMBER((NºAsuntos!C31+NºAsuntos!E31)/NºAsuntos!G31),(NºAsuntos!C31+NºAsuntos!E31)/NºAsuntos!G31," - ")</f>
        <v>2.4590747330960854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b8+ozsT5X4opNdCJuxrnzip9Z3XiCfDLadoYcjEpoiY3PSa7gRwZnvbu7T/k2MwZpfBJ/jblJIV/Or+b8+PCw==" saltValue="ECFC///0mAj5HmEVkK8o7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AGUILAR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12</v>
      </c>
      <c r="AB10" s="374">
        <f>IF(ISNUMBER(Datos!R10),Datos!R10," - ")</f>
        <v>0</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143</v>
      </c>
      <c r="Y12" s="374">
        <f t="shared" si="0"/>
        <v>143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1.0518518518518518</v>
      </c>
      <c r="AM12" s="284">
        <f>IF(ISNUMBER(((NºAsuntos!I12/NºAsuntos!G12)*11)/factor_trimestre),((NºAsuntos!I12/NºAsuntos!G12)*11)/factor_trimestre," - ")</f>
        <v>3.591549295774648</v>
      </c>
      <c r="AN12" s="267">
        <f>IF(ISNUMBER('Resol  Asuntos'!D12/NºAsuntos!G12),'Resol  Asuntos'!D12/NºAsuntos!G12," - ")</f>
        <v>0.40140845070422537</v>
      </c>
      <c r="AO12" s="268">
        <f>IF(ISNUMBER((NºAsuntos!C12+NºAsuntos!E12)/NºAsuntos!G12),(NºAsuntos!C12+NºAsuntos!E12)/NºAsuntos!G12," - ")</f>
        <v>2.795774647887324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10</v>
      </c>
      <c r="G14" s="1163">
        <f t="shared" si="5"/>
        <v>10</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143</v>
      </c>
      <c r="Y14" s="1165">
        <f t="shared" si="6"/>
        <v>143</v>
      </c>
      <c r="Z14" s="1165">
        <f t="shared" si="6"/>
        <v>0</v>
      </c>
      <c r="AA14" s="1165">
        <f t="shared" si="6"/>
        <v>12</v>
      </c>
      <c r="AB14" s="1165">
        <f t="shared" si="6"/>
        <v>413</v>
      </c>
      <c r="AC14" s="1165">
        <f t="shared" si="6"/>
        <v>12</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1.0364963503649636</v>
      </c>
      <c r="AM14" s="1171">
        <f>IF(ISNUMBER(((NºAsuntos!I14/NºAsuntos!G14)*11)/factor_trimestre),((NºAsuntos!I14/NºAsuntos!G14)*11)/factor_trimestre," - ")</f>
        <v>3.76056338028169</v>
      </c>
      <c r="AN14" s="1172">
        <f>IF(ISNUMBER('Resol  Asuntos'!D14/NºAsuntos!G14),'Resol  Asuntos'!D14/NºAsuntos!G14," - ")</f>
        <v>0.40140845070422537</v>
      </c>
      <c r="AO14" s="1173">
        <f>IF(ISNUMBER((NºAsuntos!C14+NºAsuntos!E14)/NºAsuntos!G14),(NºAsuntos!C14+NºAsuntos!E14)/NºAsuntos!G14," - ")</f>
        <v>2.880281690140845</v>
      </c>
      <c r="AP14" s="1174" t="str">
        <f t="shared" si="2"/>
        <v xml:space="preserve"> - </v>
      </c>
      <c r="AQ14" s="1174">
        <f>IF(ISNUMBER((H14-W14+K14)/(F14)),(H14-W14+K14)/(F14)," - ")</f>
        <v>0</v>
      </c>
      <c r="AR14" s="1175">
        <f>IF(ISNUMBER((Datos!P14-Datos!Q14)/(Datos!R14-Datos!P14+Datos!Q14)),(Datos!P14-Datos!Q14)/(Datos!R14-Datos!P14+Datos!Q14)," - ")</f>
        <v>-0.19649805447470817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153</v>
      </c>
      <c r="G17" s="373">
        <f>IF(ISNUMBER(IF(D_I="SI",Datos!I17,Datos!I17+Datos!AC17)),IF(D_I="SI",Datos!I17,Datos!I17+Datos!AC17)," - ")</f>
        <v>153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125</v>
      </c>
      <c r="X17" s="240">
        <f>IF(ISNUMBER(Datos!Q17),Datos!Q17," - ")</f>
        <v>0</v>
      </c>
      <c r="Y17" s="374">
        <f t="shared" ref="Y17:Y22" si="9">SUM(W17:X17)</f>
        <v>125</v>
      </c>
      <c r="Z17" s="375" t="str">
        <f>IF(ISNUMBER(Datos!CC17),Datos!CC17," - ")</f>
        <v xml:space="preserve"> - </v>
      </c>
      <c r="AA17" s="372">
        <f>IF(ISNUMBER(IF(D_I="SI",Datos!L17,Datos!L17+Datos!AF17)),IF(D_I="SI",Datos!L17,Datos!L17+Datos!AF17)," - ")</f>
        <v>115</v>
      </c>
      <c r="AB17" s="374">
        <f>IF(ISNUMBER(Datos!R17),Datos!R17," - ")</f>
        <v>52</v>
      </c>
      <c r="AC17" s="374">
        <f t="shared" si="8"/>
        <v>167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75</v>
      </c>
      <c r="AJ17" s="245" t="str">
        <f>IF(ISNUMBER(Datos!BW17),Datos!BW17," - ")</f>
        <v xml:space="preserve"> - </v>
      </c>
      <c r="AK17" s="246" t="str">
        <f>IF(ISNUMBER(Datos!BX17),Datos!BX17," - ")</f>
        <v xml:space="preserve"> - </v>
      </c>
      <c r="AL17" s="266">
        <f>IF(ISNUMBER(NºAsuntos!G17/NºAsuntos!E17),NºAsuntos!G17/NºAsuntos!E17," - ")</f>
        <v>1.4367816091954022</v>
      </c>
      <c r="AM17" s="284">
        <f>IF(ISNUMBER(((NºAsuntos!I17/NºAsuntos!G17)*11)/factor_trimestre),((NºAsuntos!I17/NºAsuntos!G17)*11)/factor_trimestre," - ")</f>
        <v>1.84</v>
      </c>
      <c r="AN17" s="267">
        <f>IF(ISNUMBER('Resol  Asuntos'!D17/NºAsuntos!G17),'Resol  Asuntos'!D17/NºAsuntos!G17," - ")</f>
        <v>0.6</v>
      </c>
      <c r="AO17" s="268">
        <f>IF(ISNUMBER((NºAsuntos!C17+NºAsuntos!E17)/NºAsuntos!G17),(NºAsuntos!C17+NºAsuntos!E17)/NºAsuntos!G17," - ")</f>
        <v>1.92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28</v>
      </c>
      <c r="AB18" s="374">
        <f>IF(ISNUMBER(Datos!R18),Datos!R18," - ")</f>
        <v>0</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0.82352941176470584</v>
      </c>
      <c r="AM18" s="284">
        <f>IF(ISNUMBER(((NºAsuntos!I18/NºAsuntos!G18)*11)/factor_trimestre),((NºAsuntos!I18/NºAsuntos!G18)*11)/factor_trimestre," - ")</f>
        <v>4</v>
      </c>
      <c r="AN18" s="267">
        <f>IF(ISNUMBER('Resol  Asuntos'!D18/NºAsuntos!G18),'Resol  Asuntos'!D18/NºAsuntos!G18," - ")</f>
        <v>0.2857142857142857</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153</v>
      </c>
      <c r="G23" s="1163">
        <f>SUBTOTAL(9,G16:G22)</f>
        <v>178</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139</v>
      </c>
      <c r="X23" s="1164">
        <f t="shared" si="14"/>
        <v>0</v>
      </c>
      <c r="Y23" s="1165">
        <f t="shared" si="14"/>
        <v>139</v>
      </c>
      <c r="Z23" s="1165">
        <f t="shared" si="14"/>
        <v>0</v>
      </c>
      <c r="AA23" s="1165">
        <f t="shared" si="14"/>
        <v>143</v>
      </c>
      <c r="AB23" s="1165">
        <f t="shared" si="14"/>
        <v>52</v>
      </c>
      <c r="AC23" s="1165">
        <f t="shared" si="14"/>
        <v>195</v>
      </c>
      <c r="AD23" s="1165">
        <f t="shared" si="14"/>
        <v>0</v>
      </c>
      <c r="AE23" s="1169">
        <f t="shared" si="14"/>
        <v>0</v>
      </c>
      <c r="AF23" s="1162">
        <f t="shared" si="14"/>
        <v>0</v>
      </c>
      <c r="AG23" s="1170">
        <f t="shared" si="14"/>
        <v>0</v>
      </c>
      <c r="AH23" s="1167">
        <f t="shared" si="14"/>
        <v>0</v>
      </c>
      <c r="AI23" s="1162">
        <f t="shared" si="14"/>
        <v>79</v>
      </c>
      <c r="AJ23" s="1164">
        <f t="shared" si="14"/>
        <v>0</v>
      </c>
      <c r="AK23" s="1167">
        <f t="shared" si="14"/>
        <v>0</v>
      </c>
      <c r="AL23" s="1171">
        <f>IF(ISNUMBER(NºAsuntos!G23/NºAsuntos!E23),NºAsuntos!G23/NºAsuntos!E23," - ")</f>
        <v>1.3365384615384615</v>
      </c>
      <c r="AM23" s="1171">
        <f>IF(ISNUMBER(((NºAsuntos!I23/NºAsuntos!G23)*11)/factor_trimestre),((NºAsuntos!I23/NºAsuntos!G23)*11)/factor_trimestre," - ")</f>
        <v>2.0575539568345325</v>
      </c>
      <c r="AN23" s="1172">
        <f>IF(ISNUMBER('Resol  Asuntos'!D23/NºAsuntos!G23),'Resol  Asuntos'!D23/NºAsuntos!G23," - ")</f>
        <v>0.56834532374100721</v>
      </c>
      <c r="AO23" s="1173">
        <f>IF(ISNUMBER((NºAsuntos!C23+NºAsuntos!E23)/NºAsuntos!G23),(NºAsuntos!C23+NºAsuntos!E23)/NºAsuntos!G23," - ")</f>
        <v>2.028776978417266</v>
      </c>
      <c r="AP23" s="1174" t="str">
        <f t="shared" si="2"/>
        <v xml:space="preserve"> - </v>
      </c>
      <c r="AQ23" s="1174">
        <f>IF(ISNUMBER((H23-W23+K23)/(F23)),(H23-W23+K23)/(F23)," - ")</f>
        <v>-0.90849673202614378</v>
      </c>
      <c r="AR23" s="1175">
        <f>IF(ISNUMBER((Datos!P23-Datos!Q23)/(Datos!R23-Datos!P23+Datos!Q23)),(Datos!P23-Datos!Q23)/(Datos!R23-Datos!P23+Datos!Q23)," - ")</f>
        <v>1.08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163</v>
      </c>
      <c r="G31" s="1118">
        <f t="shared" si="20"/>
        <v>188</v>
      </c>
      <c r="H31" s="1117">
        <f t="shared" si="20"/>
        <v>0</v>
      </c>
      <c r="I31" s="1119">
        <f t="shared" si="20"/>
        <v>0</v>
      </c>
      <c r="J31" s="1119">
        <f t="shared" si="20"/>
        <v>0</v>
      </c>
      <c r="K31" s="1180">
        <f t="shared" si="20"/>
        <v>0</v>
      </c>
      <c r="L31" s="1119">
        <f t="shared" si="20"/>
        <v>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139</v>
      </c>
      <c r="X31" s="1118">
        <f t="shared" si="21"/>
        <v>143</v>
      </c>
      <c r="Y31" s="1125">
        <f t="shared" si="21"/>
        <v>282</v>
      </c>
      <c r="Z31" s="1125">
        <f t="shared" si="21"/>
        <v>0</v>
      </c>
      <c r="AA31" s="1125">
        <f t="shared" si="21"/>
        <v>155</v>
      </c>
      <c r="AB31" s="1125">
        <f t="shared" si="21"/>
        <v>465</v>
      </c>
      <c r="AC31" s="1125">
        <f t="shared" si="21"/>
        <v>207</v>
      </c>
      <c r="AD31" s="1125">
        <f t="shared" si="21"/>
        <v>0</v>
      </c>
      <c r="AE31" s="1127">
        <f t="shared" si="21"/>
        <v>0</v>
      </c>
      <c r="AF31" s="1128">
        <f t="shared" si="21"/>
        <v>0</v>
      </c>
      <c r="AG31" s="1129">
        <f t="shared" si="21"/>
        <v>0</v>
      </c>
      <c r="AH31" s="1127">
        <f t="shared" si="21"/>
        <v>0</v>
      </c>
      <c r="AI31" s="1117">
        <f t="shared" si="21"/>
        <v>136</v>
      </c>
      <c r="AJ31" s="1117">
        <f t="shared" si="21"/>
        <v>0</v>
      </c>
      <c r="AK31" s="1127">
        <f t="shared" si="21"/>
        <v>0</v>
      </c>
      <c r="AL31" s="1183">
        <f>IF(ISNUMBER(NºAsuntos!G31/NºAsuntos!E31),NºAsuntos!G31/NºAsuntos!E31," - ")</f>
        <v>1.1659751037344399</v>
      </c>
      <c r="AM31" s="1184">
        <f>IF(ISNUMBER(((NºAsuntos!I31/NºAsuntos!G31)*11)/factor_trimestre),((NºAsuntos!I31/NºAsuntos!G31)*11)/factor_trimestre," - ")</f>
        <v>2.9181494661921707</v>
      </c>
      <c r="AN31" s="1184">
        <f>IF(ISNUMBER('Resol  Asuntos'!D31/NºAsuntos!G31),'Resol  Asuntos'!D31/NºAsuntos!G31," - ")</f>
        <v>0.48398576512455516</v>
      </c>
      <c r="AO31" s="1185">
        <f>IF(ISNUMBER((NºAsuntos!C31+NºAsuntos!E31)/NºAsuntos!G31),(NºAsuntos!C31+NºAsuntos!E31)/NºAsuntos!G31," - ")</f>
        <v>2.4590747330960854</v>
      </c>
      <c r="AP31" s="1186" t="str">
        <f t="shared" si="2"/>
        <v xml:space="preserve"> - </v>
      </c>
      <c r="AQ31" s="1187">
        <f>IF(OR(ISNUMBER(FIND("01",Criterios!A8,1)),ISNUMBER(FIND("02",Criterios!A8,1)),ISNUMBER(FIND("03",Criterios!A8,1)),ISNUMBER(FIND("04",Criterios!A8,1))),(I31-W31+K31)/(F31-K31),(H31-W31+K31)/(F31-K31))</f>
        <v>-0.85276073619631898</v>
      </c>
      <c r="AR31" s="1188">
        <f>IF(ISNUMBER((Datos!P31-Datos!Q31)/(Datos!R31-Datos!P31+Datos!Q31)),(Datos!P31-Datos!Q31)/(Datos!R31-Datos!P31+Datos!Q31)," - ")</f>
        <v>-0.13729128014842301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53.714285714285715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76.557603584925943</v>
      </c>
      <c r="G33" s="277">
        <f>IF(ISNUMBER(STDEV(G8:G30)),STDEV(G8:G30),"-")</f>
        <v>77.159389762824262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63.379056177137585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36.11885142929421</v>
      </c>
      <c r="AJ33" s="276">
        <f t="shared" si="25"/>
        <v>0</v>
      </c>
      <c r="AK33" s="278">
        <f t="shared" si="25"/>
        <v>0</v>
      </c>
      <c r="AL33" s="273">
        <f t="shared" si="25"/>
        <v>0.51433102711200418</v>
      </c>
      <c r="AM33" s="274">
        <f t="shared" si="25"/>
        <v>1.0185437010162386</v>
      </c>
      <c r="AN33" s="274">
        <f t="shared" si="25"/>
        <v>0.13058352845528315</v>
      </c>
      <c r="AO33" s="275">
        <f t="shared" si="25"/>
        <v>0.50927185050811674</v>
      </c>
      <c r="AP33" s="317" t="str">
        <f t="shared" si="25"/>
        <v>-</v>
      </c>
      <c r="AQ33" s="318">
        <f t="shared" si="25"/>
        <v>0.64240419990150399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7giUy8JccXgIY/5C59mXc6t9gEtpo1Bzd0UM4K626+fkOeb/hWwlnK9tW37kvqFm/SbJyM4VTk2V44rASuNDQ==" saltValue="ZN9rMWH6MF9qXikc6Y+V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AGUILAR DE LA FRONTERA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t="str">
        <f>IF(ISNUMBER((Datos!K10-Datos!U10)/Datos!U10),(Datos!K10-Datos!U10)/Datos!U10," - ")</f>
        <v xml:space="preserve"> - </v>
      </c>
      <c r="G10" s="394">
        <f>IF(ISNUMBER((Datos!L10-Datos!V10)/Datos!V10),(Datos!L10-Datos!V10)/Datos!V10," - ")</f>
        <v>9.0909090909090912E-2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-0.22727272727272727</v>
      </c>
      <c r="J12" s="394">
        <f>IF(ISNUMBER((Tasas!D12-Datos!BF12)/Datos!BF12),(Tasas!D12-Datos!BF12)/Datos!BF12," - ")</f>
        <v>-0.59285714285714286</v>
      </c>
      <c r="K12" s="396">
        <f>IF(ISNUMBER((Tasas!E12-Datos!BG12)/Datos!BG12),(Tasas!E12-Datos!BG12)/Datos!BG12," - ")</f>
        <v>-0.15889830508474576</v>
      </c>
      <c r="M12" t="e">
        <f>IF(Monitorios="SI",Datos!CE12,0)</f>
        <v>#REF!</v>
      </c>
      <c r="N12" t="e">
        <f>IF(Monitorios="SI",Datos!CF12,0)</f>
        <v>#REF!</v>
      </c>
      <c r="O12" t="e">
        <f>IF(Monitorios="SI",Datos!CG12,0)</f>
        <v>#REF!</v>
      </c>
      <c r="P12" t="e">
        <f>IF(Monitorios="SI",Datos!CH12,0)</f>
        <v>#REF!</v>
      </c>
      <c r="Q12">
        <f>IF(J_V="SI",0,Datos!AG12)</f>
        <v>23</v>
      </c>
      <c r="R12">
        <f>IF(J_V="SI",0,Datos!AH12)</f>
        <v>40</v>
      </c>
      <c r="S12">
        <f>IF(J_V="SI",0,Datos!AI12)</f>
        <v>10</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-0.217008797653959</v>
      </c>
      <c r="J14" s="400">
        <f>IF(ISNUMBER((Tasas!D14-Datos!BF14)/Datos!BF14),(Tasas!D14-Datos!BF14)/Datos!BF14," - ")</f>
        <v>-0.59285714285714286</v>
      </c>
      <c r="K14" s="403">
        <f>IF(ISNUMBER((Tasas!E14-Datos!BG14)/Datos!BG14),(Tasas!E14-Datos!BG14)/Datos!BG14," - ")</f>
        <v>-0.15320910973084892</v>
      </c>
      <c r="M14" t="e">
        <f>IF(Monitorios="SI",Datos!CE14,0)</f>
        <v>#REF!</v>
      </c>
      <c r="N14" t="e">
        <f>IF(Monitorios="SI",Datos!CF14,0)</f>
        <v>#REF!</v>
      </c>
      <c r="O14" t="e">
        <f>IF(Monitorios="SI",Datos!CG14,0)</f>
        <v>#REF!</v>
      </c>
      <c r="P14" t="e">
        <f>IF(Monitorios="SI",Datos!CH14,0)</f>
        <v>#REF!</v>
      </c>
      <c r="Q14">
        <f>IF(J_V="SI",0,Datos!AG14)</f>
        <v>23</v>
      </c>
      <c r="R14">
        <f>IF(J_V="SI",0,Datos!AH14)</f>
        <v>40</v>
      </c>
      <c r="S14">
        <f>IF(J_V="SI",0,Datos!AI14)</f>
        <v>10</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-0.27488151658767773</v>
      </c>
      <c r="E17" s="393">
        <f>IF(ISNUMBER(
   IF(D_I="SI",(Datos!J17-Datos!T17)/Datos!T17,(Datos!J17+Datos!AD17-(Datos!T17+Datos!AL17))/(Datos!T17+Datos!AL17))
     ),IF(D_I="SI",(Datos!J17-Datos!T17)/Datos!T17,(Datos!J17+Datos!AD17-(Datos!T17+Datos!AL17))/(Datos!T17+Datos!AL17))," - ")</f>
        <v>0.24285714285714285</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-0.26282051282051283</v>
      </c>
      <c r="H17" s="244">
        <f>IF(ISNUMBER((Datos!M17-Datos!W17)/Datos!W17),(Datos!M17-Datos!W17)/Datos!W17," - ")</f>
        <v>0</v>
      </c>
      <c r="I17" s="395">
        <f>IF(ISNUMBER((Tasas!C17-Datos!BE17)/Datos!BE17),(Tasas!C17-Datos!BE17)/Datos!BE17," - ")</f>
        <v>-0.26282051282051277</v>
      </c>
      <c r="J17" s="394">
        <f>IF(ISNUMBER((Tasas!D17-Datos!BF17)/Datos!BF17),(Tasas!D17-Datos!BF17)/Datos!BF17," - ")</f>
        <v>0</v>
      </c>
      <c r="K17" s="396">
        <f>IF(ISNUMBER((Tasas!E17-Datos!BG17)/Datos!BG17),(Tasas!E17-Datos!BG17)/Datos!BG17," - ")</f>
        <v>-0.14590747330960865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-0.21875</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-0.2</v>
      </c>
      <c r="H18" s="244">
        <f>IF(ISNUMBER((Datos!M18-Datos!W18)/Datos!W18),(Datos!M18-Datos!W18)/Datos!W18," - ")</f>
        <v>0</v>
      </c>
      <c r="I18" s="395">
        <f>IF(ISNUMBER((Tasas!C18-Datos!BE18)/Datos!BE18),(Tasas!C18-Datos!BE18)/Datos!BE18," - ")</f>
        <v>-0.2</v>
      </c>
      <c r="J18" s="394">
        <f>IF(ISNUMBER((Tasas!D18-Datos!BF18)/Datos!BF18),(Tasas!D18-Datos!BF18)/Datos!BF18," - ")</f>
        <v>0</v>
      </c>
      <c r="K18" s="396">
        <f>IF(ISNUMBER((Tasas!E18-Datos!BG18)/Datos!BG18),(Tasas!E18-Datos!BG18)/Datos!BG18," - ")</f>
        <v>-0.14285714285714285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-0.26748971193415638</v>
      </c>
      <c r="E23" s="399">
        <f>IF(ISNUMBER(
   IF(D_I="SI",(Datos!J23-Datos!T23)/Datos!T23,(Datos!J23+Datos!AD23-(Datos!T23+Datos!AL23))/(Datos!T23+Datos!AL23))
     ),IF(D_I="SI",(Datos!J23-Datos!T23)/Datos!T23,(Datos!J23+Datos!AD23-(Datos!T23+Datos!AL23))/(Datos!T23+Datos!AL23))," - ")</f>
        <v>0.19540229885057472</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-0.2513089005235602</v>
      </c>
      <c r="H23" s="401">
        <f>IF(ISNUMBER((Datos!M23-Datos!W23)/Datos!W23),(Datos!M23-Datos!W23)/Datos!W23," - ")</f>
        <v>0</v>
      </c>
      <c r="I23" s="402">
        <f>IF(ISNUMBER((Tasas!C23-Datos!BE23)/Datos!BE23),(Tasas!C23-Datos!BE23)/Datos!BE23," - ")</f>
        <v>-0.25130890052356014</v>
      </c>
      <c r="J23" s="400">
        <f>IF(ISNUMBER((Tasas!D23-Datos!BF23)/Datos!BF23),(Tasas!D23-Datos!BF23)/Datos!BF23," - ")</f>
        <v>0</v>
      </c>
      <c r="K23" s="403">
        <f>IF(ISNUMBER((Tasas!E23-Datos!BG23)/Datos!BG23),(Tasas!E23-Datos!BG23)/Datos!BG23," - ")</f>
        <v>-0.1454545454545455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-0.26229508196721313</v>
      </c>
      <c r="E31" s="409">
        <f>IF(ISNUMBER(
   IF(J_V="SI",(Datos!J31-Datos!T31)/Datos!T31,(Datos!J31+Datos!Z31-(Datos!T31+Datos!AH31))/(Datos!T31+Datos!AH31))
     ),IF(J_V="SI",(Datos!J31-Datos!T31)/Datos!T31,(Datos!J31+Datos!Z31-(Datos!T31+Datos!AH31))/(Datos!T31+Datos!AH31))," - ")</f>
        <v>0.18719211822660098</v>
      </c>
      <c r="F31" s="409">
        <f>IF(ISNUMBER(
   IF(J_V="SI",(Datos!K31-Datos!U31)/Datos!U31,(Datos!K31+Datos!AA31-(Datos!U31+Datos!AI31))/(Datos!U31+Datos!AI31))
     ),IF(J_V="SI",(Datos!K31-Datos!U31)/Datos!U31,(Datos!K31+Datos!AA31-(Datos!U31+Datos!AI31))/(Datos!U31+Datos!AI31))," - ")</f>
        <v>0</v>
      </c>
      <c r="G31" s="410">
        <f>IF(ISNUMBER(
   IF(J_V="SI",(Datos!L31-Datos!V31)/Datos!V31,(Datos!L31+Datos!AB31-(Datos!V31+Datos!AJ31))/(Datos!V31+Datos!AJ31))
     ),IF(J_V="SI",(Datos!L31-Datos!V31)/Datos!V31,(Datos!L31+Datos!AB31-(Datos!V31+Datos!AJ31))/(Datos!V31+Datos!AJ31))," - ")</f>
        <v>-0.22932330827067668</v>
      </c>
      <c r="H31" s="411">
        <f>IF(ISNUMBER((Datos!M31-Datos!W31)/Datos!W31),(Datos!M31-Datos!W31)/Datos!W31," - ")</f>
        <v>0</v>
      </c>
      <c r="I31" s="408">
        <f>IF(ISNUMBER((Tasas!C31-Datos!BE31)/Datos!BE31),(Tasas!C31-Datos!BE31)/Datos!BE31," - ")</f>
        <v>-0.22932330827067668</v>
      </c>
      <c r="J31" s="409">
        <f>IF(ISNUMBER((Tasas!D31-Datos!BF31)/Datos!BF31),(Tasas!D31-Datos!BF31)/Datos!BF31," - ")</f>
        <v>-0.37899543378995437</v>
      </c>
      <c r="K31" s="410">
        <f>IF(ISNUMBER((Tasas!E31-Datos!BG31)/Datos!BG31),(Tasas!E31-Datos!BG31)/Datos!BG31," - ")</f>
        <v>-0.1500615006150062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0.12927461148721769</v>
      </c>
      <c r="E33" s="303">
        <f t="shared" si="1"/>
        <v>0.43970220787008218</v>
      </c>
      <c r="F33" s="303">
        <f t="shared" si="1"/>
        <v>0</v>
      </c>
      <c r="G33" s="304">
        <f t="shared" si="1"/>
        <v>0.16672767784376674</v>
      </c>
      <c r="H33" s="310">
        <f t="shared" si="1"/>
        <v>0</v>
      </c>
      <c r="I33" s="302">
        <f t="shared" si="1"/>
        <v>2.5462304892380751E-2</v>
      </c>
      <c r="J33" s="303">
        <f t="shared" si="1"/>
        <v>0.32472123052091995</v>
      </c>
      <c r="K33" s="304">
        <f t="shared" si="1"/>
        <v>6.6183410007845892E-3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6h/JE/Mua+OSVAhBpesqVyAuDCUzsSZ31l0f6BuSIvNMWUJQliS/n3O3zH7VQ+5cOX/pkz7oyISAkGhJNenBQ==" saltValue="GLJmL2O8Xa/ruSqI2DOY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